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aventos HF" sheetId="1" r:id="rId1"/>
    <sheet name="aventos HK" sheetId="2" r:id="rId2"/>
    <sheet name="aventos HS" sheetId="3" r:id="rId3"/>
    <sheet name="aventos HL" sheetId="4" r:id="rId4"/>
  </sheets>
  <definedNames>
    <definedName name="Excel_BuiltIn__FilterDatabase_1">'aventos HF'!$K$22:$K$33</definedName>
    <definedName name="Excel_BuiltIn__FilterDatabase_2">'aventos HK'!$K$20:$K$100</definedName>
    <definedName name="Excel_BuiltIn__FilterDatabase_3">'aventos HS'!$K$21:$K$128</definedName>
    <definedName name="Excel_BuiltIn__FilterDatabase_4">'aventos HL'!$K$21:$K$125</definedName>
    <definedName name="_xlnm.Print_Area" localSheetId="0">'aventos HF'!$B$1:$L$37</definedName>
    <definedName name="_xlnm.Print_Area" localSheetId="1">'aventos HK'!$B$1:$L$27</definedName>
    <definedName name="_xlnm.Print_Area" localSheetId="3">'aventos HL'!$B$1:$K$31</definedName>
    <definedName name="_xlnm.Print_Area" localSheetId="2">'aventos HS'!$B$1:$K$30</definedName>
  </definedNames>
  <calcPr calcId="125725"/>
</workbook>
</file>

<file path=xl/calcChain.xml><?xml version="1.0" encoding="utf-8"?>
<calcChain xmlns="http://schemas.openxmlformats.org/spreadsheetml/2006/main">
  <c r="B19" i="1"/>
  <c r="J23"/>
  <c r="B24"/>
  <c r="G24"/>
  <c r="I24"/>
  <c r="J24"/>
  <c r="B25"/>
  <c r="G25"/>
  <c r="I25"/>
  <c r="J25"/>
  <c r="B26"/>
  <c r="G26"/>
  <c r="I26"/>
  <c r="J26"/>
  <c r="B27"/>
  <c r="G27"/>
  <c r="I27"/>
  <c r="J27"/>
  <c r="B28"/>
  <c r="G28"/>
  <c r="I28"/>
  <c r="J28"/>
  <c r="K28"/>
  <c r="L28"/>
  <c r="B29"/>
  <c r="G29"/>
  <c r="I29"/>
  <c r="J29"/>
  <c r="K29"/>
  <c r="L29"/>
  <c r="B30"/>
  <c r="G30"/>
  <c r="I30"/>
  <c r="J30"/>
  <c r="K30"/>
  <c r="L30"/>
  <c r="B31"/>
  <c r="G31"/>
  <c r="I31"/>
  <c r="J31"/>
  <c r="K31"/>
  <c r="L31"/>
  <c r="B32"/>
  <c r="G32"/>
  <c r="I32"/>
  <c r="J32"/>
  <c r="K32"/>
  <c r="L32"/>
  <c r="D101"/>
  <c r="E101"/>
  <c r="H101" s="1"/>
  <c r="I101" s="1"/>
  <c r="J101" s="1"/>
  <c r="C102"/>
  <c r="D102"/>
  <c r="H102" s="1"/>
  <c r="I102" s="1"/>
  <c r="J102" s="1"/>
  <c r="E102"/>
  <c r="D103"/>
  <c r="E103"/>
  <c r="H103"/>
  <c r="I103" s="1"/>
  <c r="J103" s="1"/>
  <c r="G109"/>
  <c r="G110"/>
  <c r="G121"/>
  <c r="D16" s="1"/>
  <c r="K123"/>
  <c r="L123" s="1"/>
  <c r="K124"/>
  <c r="L124" s="1"/>
  <c r="K125"/>
  <c r="L125"/>
  <c r="K126"/>
  <c r="L126" s="1"/>
  <c r="K127"/>
  <c r="L127" s="1"/>
  <c r="K128"/>
  <c r="L128" s="1"/>
  <c r="K129"/>
  <c r="K130"/>
  <c r="K131"/>
  <c r="L131" s="1"/>
  <c r="K132"/>
  <c r="K133"/>
  <c r="L133" s="1"/>
  <c r="K134"/>
  <c r="L134" s="1"/>
  <c r="K135"/>
  <c r="L135" s="1"/>
  <c r="K136"/>
  <c r="L136" s="1"/>
  <c r="K137"/>
  <c r="L137" s="1"/>
  <c r="D15" i="2"/>
  <c r="B18"/>
  <c r="B22"/>
  <c r="G22"/>
  <c r="I22"/>
  <c r="D82"/>
  <c r="E82"/>
  <c r="H82"/>
  <c r="I82" s="1"/>
  <c r="J82" s="1"/>
  <c r="C83"/>
  <c r="D83"/>
  <c r="H83" s="1"/>
  <c r="I83" s="1"/>
  <c r="J83" s="1"/>
  <c r="E83"/>
  <c r="D84"/>
  <c r="H84" s="1"/>
  <c r="I84" s="1"/>
  <c r="J84" s="1"/>
  <c r="E84"/>
  <c r="D89"/>
  <c r="E89" s="1"/>
  <c r="D90"/>
  <c r="E90" s="1"/>
  <c r="D16" s="1"/>
  <c r="J99"/>
  <c r="J22" s="1"/>
  <c r="J100"/>
  <c r="L100"/>
  <c r="M100" s="1"/>
  <c r="B18" i="4"/>
  <c r="D97"/>
  <c r="H97" s="1"/>
  <c r="I97" s="1"/>
  <c r="J97" s="1"/>
  <c r="C100" s="1"/>
  <c r="D110" s="1"/>
  <c r="E97"/>
  <c r="C98"/>
  <c r="D98"/>
  <c r="E98"/>
  <c r="H98" s="1"/>
  <c r="I98" s="1"/>
  <c r="J98" s="1"/>
  <c r="C101" s="1"/>
  <c r="D111" s="1"/>
  <c r="D99"/>
  <c r="H99" s="1"/>
  <c r="I99" s="1"/>
  <c r="J99" s="1"/>
  <c r="E99"/>
  <c r="V105"/>
  <c r="X105"/>
  <c r="Y105" s="1"/>
  <c r="D108"/>
  <c r="D109"/>
  <c r="D15" s="1"/>
  <c r="J122"/>
  <c r="L122" s="1"/>
  <c r="M122" s="1"/>
  <c r="J123"/>
  <c r="L123"/>
  <c r="M123" s="1"/>
  <c r="J124"/>
  <c r="L124" s="1"/>
  <c r="M124" s="1"/>
  <c r="J125"/>
  <c r="L125" s="1"/>
  <c r="M125" s="1"/>
  <c r="B19" i="3"/>
  <c r="D90"/>
  <c r="H90" s="1"/>
  <c r="I90" s="1"/>
  <c r="J90" s="1"/>
  <c r="E90"/>
  <c r="C91"/>
  <c r="D91"/>
  <c r="E91"/>
  <c r="H91" s="1"/>
  <c r="I91" s="1"/>
  <c r="J91" s="1"/>
  <c r="D92"/>
  <c r="H92" s="1"/>
  <c r="I92" s="1"/>
  <c r="J92" s="1"/>
  <c r="E92"/>
  <c r="D97"/>
  <c r="D98"/>
  <c r="J111"/>
  <c r="L111" s="1"/>
  <c r="M111" s="1"/>
  <c r="J112"/>
  <c r="L112" s="1"/>
  <c r="M112" s="1"/>
  <c r="J113"/>
  <c r="J114" s="1"/>
  <c r="L114" s="1"/>
  <c r="M114" s="1"/>
  <c r="U192"/>
  <c r="V192"/>
  <c r="W192"/>
  <c r="X192"/>
  <c r="Y192"/>
  <c r="Z192"/>
  <c r="AA192"/>
  <c r="AB192"/>
  <c r="AC192"/>
  <c r="AD192"/>
  <c r="L129" i="1" l="1"/>
  <c r="C104"/>
  <c r="G115" s="1"/>
  <c r="C85" i="2"/>
  <c r="D91" s="1"/>
  <c r="E91" s="1"/>
  <c r="G21"/>
  <c r="J98"/>
  <c r="L98" s="1"/>
  <c r="M98" s="1"/>
  <c r="J95"/>
  <c r="L95" s="1"/>
  <c r="M95" s="1"/>
  <c r="J96"/>
  <c r="L96" s="1"/>
  <c r="M96" s="1"/>
  <c r="I21"/>
  <c r="J97"/>
  <c r="L97" s="1"/>
  <c r="M97" s="1"/>
  <c r="B21"/>
  <c r="C94" i="3"/>
  <c r="D100" s="1"/>
  <c r="C93"/>
  <c r="D99" s="1"/>
  <c r="D16" s="1"/>
  <c r="AC194" s="1"/>
  <c r="AC193" s="1"/>
  <c r="C86" i="2"/>
  <c r="D92" s="1"/>
  <c r="E92" s="1"/>
  <c r="C105" i="1"/>
  <c r="AB105" i="4"/>
  <c r="J120"/>
  <c r="L120" s="1"/>
  <c r="M120" s="1"/>
  <c r="AL105"/>
  <c r="AH105"/>
  <c r="AD105"/>
  <c r="Z105"/>
  <c r="AK106" s="1"/>
  <c r="L132" i="1"/>
  <c r="L130"/>
  <c r="H121"/>
  <c r="D17" s="1"/>
  <c r="J118" i="4"/>
  <c r="L118" s="1"/>
  <c r="M118" s="1"/>
  <c r="AJ105"/>
  <c r="L113" i="3"/>
  <c r="M113" s="1"/>
  <c r="H23" i="4"/>
  <c r="J119"/>
  <c r="L119" s="1"/>
  <c r="M119" s="1"/>
  <c r="AM105"/>
  <c r="AI105"/>
  <c r="AE105"/>
  <c r="AA105"/>
  <c r="B23"/>
  <c r="F23"/>
  <c r="AF105"/>
  <c r="J121"/>
  <c r="L121" s="1"/>
  <c r="M121" s="1"/>
  <c r="AK105"/>
  <c r="AG105"/>
  <c r="AC105"/>
  <c r="L99" i="2"/>
  <c r="G119" i="1" l="1"/>
  <c r="G120"/>
  <c r="G114"/>
  <c r="G116"/>
  <c r="K35"/>
  <c r="J21" i="2"/>
  <c r="B22" i="4"/>
  <c r="J113"/>
  <c r="L113" s="1"/>
  <c r="M113" s="1"/>
  <c r="J117"/>
  <c r="L117" s="1"/>
  <c r="M117" s="1"/>
  <c r="D16"/>
  <c r="H22"/>
  <c r="J115"/>
  <c r="L115" s="1"/>
  <c r="M115" s="1"/>
  <c r="J114"/>
  <c r="L114" s="1"/>
  <c r="M114" s="1"/>
  <c r="F22"/>
  <c r="J116"/>
  <c r="L116" s="1"/>
  <c r="M116" s="1"/>
  <c r="I22"/>
  <c r="M99" i="2"/>
  <c r="K25" s="1"/>
  <c r="G113" i="1"/>
  <c r="G117"/>
  <c r="G112"/>
  <c r="G111"/>
  <c r="G118"/>
  <c r="D17" i="3"/>
  <c r="H22"/>
  <c r="H24"/>
  <c r="J25"/>
  <c r="J104"/>
  <c r="L104" s="1"/>
  <c r="M104" s="1"/>
  <c r="J108"/>
  <c r="L108" s="1"/>
  <c r="M108" s="1"/>
  <c r="J115"/>
  <c r="I25"/>
  <c r="I115"/>
  <c r="I23"/>
  <c r="B22"/>
  <c r="H23"/>
  <c r="B24"/>
  <c r="H25"/>
  <c r="J102"/>
  <c r="L102" s="1"/>
  <c r="M102" s="1"/>
  <c r="J106"/>
  <c r="L106" s="1"/>
  <c r="M106" s="1"/>
  <c r="J110"/>
  <c r="L110" s="1"/>
  <c r="M110" s="1"/>
  <c r="G115"/>
  <c r="B23"/>
  <c r="B25"/>
  <c r="F22"/>
  <c r="J105"/>
  <c r="L105" s="1"/>
  <c r="M105" s="1"/>
  <c r="F23"/>
  <c r="I24"/>
  <c r="F25"/>
  <c r="K25"/>
  <c r="J103"/>
  <c r="L103" s="1"/>
  <c r="M103" s="1"/>
  <c r="J107"/>
  <c r="L107" s="1"/>
  <c r="M107" s="1"/>
  <c r="B115"/>
  <c r="K115"/>
  <c r="F24"/>
  <c r="J109"/>
  <c r="L109" s="1"/>
  <c r="M109" s="1"/>
  <c r="I23" i="4"/>
  <c r="K34" i="1"/>
  <c r="I23"/>
  <c r="G23"/>
  <c r="K24" i="2"/>
  <c r="B23" i="1"/>
  <c r="J28" i="3" l="1"/>
  <c r="J27"/>
  <c r="I22"/>
  <c r="B24" i="4"/>
  <c r="H25"/>
  <c r="B26"/>
  <c r="J26"/>
  <c r="I26"/>
  <c r="F25"/>
  <c r="H24"/>
  <c r="B25"/>
  <c r="H26"/>
  <c r="F24"/>
  <c r="J29"/>
  <c r="I25"/>
  <c r="F26"/>
  <c r="K26"/>
  <c r="I24"/>
  <c r="J28" l="1"/>
</calcChain>
</file>

<file path=xl/sharedStrings.xml><?xml version="1.0" encoding="utf-8"?>
<sst xmlns="http://schemas.openxmlformats.org/spreadsheetml/2006/main" count="298" uniqueCount="152">
  <si>
    <t>typ :</t>
  </si>
  <si>
    <t>Výška čela</t>
  </si>
  <si>
    <t>Vc [mm] :</t>
  </si>
  <si>
    <t>Šírka čela</t>
  </si>
  <si>
    <t>Sk [mm] :</t>
  </si>
  <si>
    <t>Hrúbka čela</t>
  </si>
  <si>
    <t>hr [mm] :</t>
  </si>
  <si>
    <t>Hmotnosť úchytky      [g] :</t>
  </si>
  <si>
    <t>Hmotnosť / sklad. výklop [kg]:</t>
  </si>
  <si>
    <t>Ukazovateľ výkonnosti:</t>
  </si>
  <si>
    <t>Popis</t>
  </si>
  <si>
    <t>označenie BLUM</t>
  </si>
  <si>
    <t>artikel</t>
  </si>
  <si>
    <t>počet</t>
  </si>
  <si>
    <r>
      <t>Výsledná suma</t>
    </r>
    <r>
      <rPr>
        <sz val="9"/>
        <rFont val="Comic Sans MS"/>
        <family val="4"/>
        <charset val="238"/>
      </rPr>
      <t>:</t>
    </r>
  </si>
  <si>
    <t>€</t>
  </si>
  <si>
    <t>bez DPH</t>
  </si>
  <si>
    <t>Skk</t>
  </si>
  <si>
    <t>Lfm-váha</t>
  </si>
  <si>
    <t>šírka</t>
  </si>
  <si>
    <t>výška</t>
  </si>
  <si>
    <t>hrúbka</t>
  </si>
  <si>
    <t>miera</t>
  </si>
  <si>
    <t>váha</t>
  </si>
  <si>
    <t>typ</t>
  </si>
  <si>
    <t>g/cm</t>
  </si>
  <si>
    <t>mm</t>
  </si>
  <si>
    <t>ks</t>
  </si>
  <si>
    <t>lf-mm</t>
  </si>
  <si>
    <t>lf-cm</t>
  </si>
  <si>
    <t>kg</t>
  </si>
  <si>
    <t>hliníkový profil</t>
  </si>
  <si>
    <t>široký</t>
  </si>
  <si>
    <t>úzky</t>
  </si>
  <si>
    <t>váha skla</t>
  </si>
  <si>
    <t>Celková váha :</t>
  </si>
  <si>
    <t>výber</t>
  </si>
  <si>
    <t>dvierka 2 ks - DTD</t>
  </si>
  <si>
    <t>max. výška korpusu je od 480 mm-1040 mm</t>
  </si>
  <si>
    <t>dvierka 2 ks - MDF</t>
  </si>
  <si>
    <t>max. šírka korpusu je od 450 mm-1800 mm</t>
  </si>
  <si>
    <t>dvierka 2 ks - úzky rámik 4mm sklo</t>
  </si>
  <si>
    <t>dvierka vrchné DTD, spodné úzky AL.rámik + 4mm sklo</t>
  </si>
  <si>
    <t>dvierka vrchné MDF, spodné úzky AL.rámik + 4mm sklo</t>
  </si>
  <si>
    <t>dvierka 2 ks - široký rámik 4mm sklo</t>
  </si>
  <si>
    <t>dvierka vrchné DTD, spodné široký AL.rámik + 4mm sklo</t>
  </si>
  <si>
    <t>dvierka vrchné MDF, spodné široký AL.rámik + 4mm sklo</t>
  </si>
  <si>
    <t xml:space="preserve">dvierka vrchné úzky AL.rámik + 4mm sklo, spodné DTD </t>
  </si>
  <si>
    <t xml:space="preserve">dvierka vrchné úzky AL.rámik + 4mm sklo, spodné MDF </t>
  </si>
  <si>
    <t>dvierka vrchné široký AL.rámik + 4mm sklo, spodné DTD</t>
  </si>
  <si>
    <t>dvierka vrchné široký AL.rámik + 4mm sklo, spodné MDF</t>
  </si>
  <si>
    <t>sada zdvíh. mechanizmov, ukaz. výkonnosti: 2600-5550</t>
  </si>
  <si>
    <t>20F2200</t>
  </si>
  <si>
    <t>sada zdvíh. mechanizmov, ukaz. výkonnosti: 5350-10150</t>
  </si>
  <si>
    <t>20F2500</t>
  </si>
  <si>
    <t>sada zdvíh. mechanizmov, ukaz. výkonnosti: 9000-17250</t>
  </si>
  <si>
    <t>20F2800</t>
  </si>
  <si>
    <t>sada teleskopov, výška korpusu 480-570 mm</t>
  </si>
  <si>
    <t>20F3200</t>
  </si>
  <si>
    <t>sada teleskopov, výška korpusu 560-710 mm</t>
  </si>
  <si>
    <t>20F3500</t>
  </si>
  <si>
    <t>sada teleskopov, výška korpusu 700-900 mm</t>
  </si>
  <si>
    <t>20F3800</t>
  </si>
  <si>
    <t>sada teleskopov, výška korpusu 760-1040 mm</t>
  </si>
  <si>
    <t>20F3900</t>
  </si>
  <si>
    <t>montážna platnička na priskrutkovanie</t>
  </si>
  <si>
    <t>175H5100.05</t>
  </si>
  <si>
    <t>stredový záves CLIP top, naskrutk. miska bez pružiny</t>
  </si>
  <si>
    <t>78Z5500T</t>
  </si>
  <si>
    <t>záves CLIP top 120 stup., naskrutk. miska bez pružiny</t>
  </si>
  <si>
    <t>70T5550</t>
  </si>
  <si>
    <t>adaptér CLIP - ľavý</t>
  </si>
  <si>
    <t>175H5B00</t>
  </si>
  <si>
    <t>adaptér CLIP - pravý</t>
  </si>
  <si>
    <t>stredový záves CLIP top pre dvierka s hliník. rámikom</t>
  </si>
  <si>
    <t>78Z550AT</t>
  </si>
  <si>
    <t>adaptér CLIP pre stredový záves</t>
  </si>
  <si>
    <t>175H5A00</t>
  </si>
  <si>
    <t>Záves CLIP top 120stup. pre dvierka s hliník. rámom</t>
  </si>
  <si>
    <t>72T550A</t>
  </si>
  <si>
    <t>Hmotnosť úchytky  [kg] :</t>
  </si>
  <si>
    <t>Hmotnosť / výklop [kg]:</t>
  </si>
  <si>
    <t>dvierka - DTD</t>
  </si>
  <si>
    <t>dvierka - MDF</t>
  </si>
  <si>
    <t>dvierka - široký rámik 4mm sklo</t>
  </si>
  <si>
    <t>dvierka - úzky rámik 4mm sklo</t>
  </si>
  <si>
    <t>sada zdvíh. mechanizmov, ukazovateľ výkonnosti: 480-1500</t>
  </si>
  <si>
    <t>20K2300</t>
  </si>
  <si>
    <t>sada zdvíh. mechanizmov, ukazovateľ výkonnosti: 750-2500</t>
  </si>
  <si>
    <t>20K2500</t>
  </si>
  <si>
    <t>sada zdvíh. mechanizmov, ukazovateľ výkonnosti: 1500-4900</t>
  </si>
  <si>
    <t>20K2700</t>
  </si>
  <si>
    <t>sada zdvíh. mechanizmov, ukazovateľ výkonnosti: 3200-7800</t>
  </si>
  <si>
    <t>20K2900</t>
  </si>
  <si>
    <t>predný uchyt na drevené alebo široké hliníkové dvierka</t>
  </si>
  <si>
    <t>20S4200</t>
  </si>
  <si>
    <t>predný uchyt na úzke hliníkové dvierka</t>
  </si>
  <si>
    <t>20S4200A</t>
  </si>
  <si>
    <t>Telo aventosu</t>
  </si>
  <si>
    <t xml:space="preserve"> -  typ</t>
  </si>
  <si>
    <t>výklopné systémy</t>
  </si>
  <si>
    <t>telo mechanizmu - typ A</t>
  </si>
  <si>
    <t>20S1A00</t>
  </si>
  <si>
    <t>telo mechanizmu - typ B</t>
  </si>
  <si>
    <t>20S1B00</t>
  </si>
  <si>
    <t>telo mechanizmu - typ C</t>
  </si>
  <si>
    <t>20S1C00</t>
  </si>
  <si>
    <t>telo mechanizmu - typ D</t>
  </si>
  <si>
    <t>20S1D00</t>
  </si>
  <si>
    <t>telo mechanizmu - typ E</t>
  </si>
  <si>
    <t>20S1E00</t>
  </si>
  <si>
    <t>telo mechanizmu - typ F</t>
  </si>
  <si>
    <t>20S1F00</t>
  </si>
  <si>
    <t>telo mechanizmu - typ G</t>
  </si>
  <si>
    <t>20S1G00</t>
  </si>
  <si>
    <t>telo mechanizmu - typ H</t>
  </si>
  <si>
    <t>20S1H00</t>
  </si>
  <si>
    <t>telo mechanizmu - typ I</t>
  </si>
  <si>
    <t>20S1I00</t>
  </si>
  <si>
    <t>symetrické čelné kov. pre drev.dvierka, široký hlin. rámik</t>
  </si>
  <si>
    <t>20D4200</t>
  </si>
  <si>
    <t>symetrické čelné kovanie pre úzky hliníkový rámik</t>
  </si>
  <si>
    <t>20D4200A</t>
  </si>
  <si>
    <t>tyč priečnej stabilizácie, dĺžka 1061mm</t>
  </si>
  <si>
    <t>20Q1061U</t>
  </si>
  <si>
    <t>predlžovací kus k priečnej stabilizácii</t>
  </si>
  <si>
    <t>20Q091Z</t>
  </si>
  <si>
    <t>hľadať</t>
  </si>
  <si>
    <t xml:space="preserve">typ </t>
  </si>
  <si>
    <t xml:space="preserve"> </t>
  </si>
  <si>
    <t>Hmotnosť úchytky  [g] :</t>
  </si>
  <si>
    <t>Výber</t>
  </si>
  <si>
    <t>Telo aventosu pre váhu 1,25 - 4,25 kg</t>
  </si>
  <si>
    <t>20L2100</t>
  </si>
  <si>
    <t>Telo aventosu pre váhu 1,75 - 7,25 kg</t>
  </si>
  <si>
    <t>20L2300</t>
  </si>
  <si>
    <t>Telo aventosu pre váhu 2 - 12 kg</t>
  </si>
  <si>
    <t>20L2500</t>
  </si>
  <si>
    <t>Telo aventosu pre váhu 4,25 - 20 kg</t>
  </si>
  <si>
    <t>20L2700</t>
  </si>
  <si>
    <t>Telo aventosu pre váhu 8,25 - 20 kg</t>
  </si>
  <si>
    <t>20L2900</t>
  </si>
  <si>
    <t>sada teleskopov pre výšku 300 - 350 mm</t>
  </si>
  <si>
    <t>20L3200</t>
  </si>
  <si>
    <t>sada teleskopov pre výšku 350 - 400 mm</t>
  </si>
  <si>
    <t>20L3500</t>
  </si>
  <si>
    <t>sada teleskopov pre výšku 400 - 550 mm</t>
  </si>
  <si>
    <t>20L3800</t>
  </si>
  <si>
    <t>sada teleskopov pre výšku 450 - 580 mm</t>
  </si>
  <si>
    <t>20L3900</t>
  </si>
  <si>
    <t>symetrické čelné kovanie pre drev.dvierka, široký al. rámik</t>
  </si>
  <si>
    <t>20Q1061UA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</si>
</sst>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"/>
    <numFmt numFmtId="166" formatCode="0.0"/>
  </numFmts>
  <fonts count="13">
    <font>
      <sz val="10"/>
      <name val="Arial"/>
      <family val="2"/>
      <charset val="238"/>
    </font>
    <font>
      <sz val="9"/>
      <name val="Comic Sans MS"/>
      <family val="4"/>
      <charset val="238"/>
    </font>
    <font>
      <b/>
      <sz val="8"/>
      <name val="Comic Sans MS"/>
      <family val="4"/>
      <charset val="238"/>
    </font>
    <font>
      <sz val="8"/>
      <name val="Comic Sans MS"/>
      <family val="4"/>
      <charset val="238"/>
    </font>
    <font>
      <b/>
      <sz val="9"/>
      <color indexed="63"/>
      <name val="Comic Sans MS"/>
      <family val="4"/>
      <charset val="238"/>
    </font>
    <font>
      <sz val="9"/>
      <color indexed="9"/>
      <name val="Comic Sans MS"/>
      <family val="4"/>
      <charset val="238"/>
    </font>
    <font>
      <b/>
      <sz val="9"/>
      <name val="Comic Sans MS"/>
      <family val="4"/>
      <charset val="238"/>
    </font>
    <font>
      <b/>
      <sz val="9"/>
      <color indexed="10"/>
      <name val="Comic Sans MS"/>
      <family val="4"/>
      <charset val="238"/>
    </font>
    <font>
      <sz val="9"/>
      <color indexed="10"/>
      <name val="Comic Sans MS"/>
      <family val="4"/>
      <charset val="238"/>
    </font>
    <font>
      <b/>
      <i/>
      <sz val="9"/>
      <name val="Comic Sans MS"/>
      <family val="4"/>
      <charset val="238"/>
    </font>
    <font>
      <b/>
      <u/>
      <sz val="9"/>
      <name val="Comic Sans MS"/>
      <family val="4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165" fontId="6" fillId="0" borderId="8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2" fontId="1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/>
    <xf numFmtId="0" fontId="1" fillId="7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4" fontId="1" fillId="0" borderId="0" xfId="0" applyNumberFormat="1" applyFont="1" applyFill="1" applyBorder="1"/>
    <xf numFmtId="0" fontId="1" fillId="0" borderId="10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6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6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textRotation="90"/>
    </xf>
    <xf numFmtId="164" fontId="6" fillId="0" borderId="0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8</xdr:row>
      <xdr:rowOff>0</xdr:rowOff>
    </xdr:from>
    <xdr:to>
      <xdr:col>10</xdr:col>
      <xdr:colOff>142875</xdr:colOff>
      <xdr:row>20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5" y="1457325"/>
          <a:ext cx="1457325" cy="19431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723900</xdr:colOff>
      <xdr:row>0</xdr:row>
      <xdr:rowOff>76200</xdr:rowOff>
    </xdr:from>
    <xdr:to>
      <xdr:col>4</xdr:col>
      <xdr:colOff>180975</xdr:colOff>
      <xdr:row>2</xdr:row>
      <xdr:rowOff>85725</xdr:rowOff>
    </xdr:to>
    <xdr:sp macro="" textlink="">
      <xdr:nvSpPr>
        <xdr:cNvPr id="1026" name="WordArt 11"/>
        <xdr:cNvSpPr>
          <a:spLocks noChangeArrowheads="1" noChangeShapeType="1" noTextEdit="1"/>
        </xdr:cNvSpPr>
      </xdr:nvSpPr>
      <xdr:spPr bwMode="auto">
        <a:xfrm>
          <a:off x="723900" y="76200"/>
          <a:ext cx="2314575" cy="371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k-SK" sz="3600" i="1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FFFFFF"/>
              </a:solidFill>
              <a:effectLst>
                <a:outerShdw dist="17819" dir="2700000" algn="ctr" rotWithShape="0">
                  <a:srgbClr val="000000">
                    <a:alpha val="80011"/>
                  </a:srgbClr>
                </a:outerShdw>
              </a:effectLst>
              <a:latin typeface="Arial Black"/>
            </a:rPr>
            <a:t>Aventos HF</a:t>
          </a:r>
        </a:p>
      </xdr:txBody>
    </xdr:sp>
    <xdr:clientData/>
  </xdr:twoCellAnchor>
  <xdr:twoCellAnchor>
    <xdr:from>
      <xdr:col>7</xdr:col>
      <xdr:colOff>228600</xdr:colOff>
      <xdr:row>2</xdr:row>
      <xdr:rowOff>104775</xdr:rowOff>
    </xdr:from>
    <xdr:to>
      <xdr:col>11</xdr:col>
      <xdr:colOff>142875</xdr:colOff>
      <xdr:row>7</xdr:row>
      <xdr:rowOff>28575</xdr:rowOff>
    </xdr:to>
    <xdr:pic>
      <xdr:nvPicPr>
        <xdr:cNvPr id="102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4300" y="466725"/>
          <a:ext cx="1752600" cy="8286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0</xdr:row>
      <xdr:rowOff>76200</xdr:rowOff>
    </xdr:from>
    <xdr:to>
      <xdr:col>4</xdr:col>
      <xdr:colOff>180975</xdr:colOff>
      <xdr:row>2</xdr:row>
      <xdr:rowOff>19050</xdr:rowOff>
    </xdr:to>
    <xdr:sp macro="" textlink="">
      <xdr:nvSpPr>
        <xdr:cNvPr id="2049" name="WordArt 11"/>
        <xdr:cNvSpPr>
          <a:spLocks noChangeArrowheads="1" noChangeShapeType="1" noTextEdit="1"/>
        </xdr:cNvSpPr>
      </xdr:nvSpPr>
      <xdr:spPr bwMode="auto">
        <a:xfrm>
          <a:off x="723900" y="76200"/>
          <a:ext cx="2314575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k-SK" sz="3600" i="1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FFFFFF"/>
              </a:solidFill>
              <a:effectLst>
                <a:outerShdw dist="17819" dir="2700000" algn="ctr" rotWithShape="0">
                  <a:srgbClr val="000000">
                    <a:alpha val="80011"/>
                  </a:srgbClr>
                </a:outerShdw>
              </a:effectLst>
              <a:latin typeface="Arial Black"/>
            </a:rPr>
            <a:t>Aventos HK</a:t>
          </a:r>
        </a:p>
      </xdr:txBody>
    </xdr:sp>
    <xdr:clientData/>
  </xdr:twoCellAnchor>
  <xdr:twoCellAnchor>
    <xdr:from>
      <xdr:col>6</xdr:col>
      <xdr:colOff>209550</xdr:colOff>
      <xdr:row>8</xdr:row>
      <xdr:rowOff>38100</xdr:rowOff>
    </xdr:from>
    <xdr:to>
      <xdr:col>10</xdr:col>
      <xdr:colOff>95250</xdr:colOff>
      <xdr:row>17</xdr:row>
      <xdr:rowOff>171450</xdr:rowOff>
    </xdr:to>
    <xdr:pic>
      <xdr:nvPicPr>
        <xdr:cNvPr id="20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1371600"/>
          <a:ext cx="1609725" cy="15906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114300</xdr:colOff>
      <xdr:row>3</xdr:row>
      <xdr:rowOff>0</xdr:rowOff>
    </xdr:from>
    <xdr:to>
      <xdr:col>11</xdr:col>
      <xdr:colOff>428625</xdr:colOff>
      <xdr:row>8</xdr:row>
      <xdr:rowOff>123825</xdr:rowOff>
    </xdr:to>
    <xdr:pic>
      <xdr:nvPicPr>
        <xdr:cNvPr id="205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0" y="542925"/>
          <a:ext cx="1285875" cy="9144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0</xdr:row>
      <xdr:rowOff>76200</xdr:rowOff>
    </xdr:from>
    <xdr:to>
      <xdr:col>4</xdr:col>
      <xdr:colOff>180975</xdr:colOff>
      <xdr:row>2</xdr:row>
      <xdr:rowOff>19050</xdr:rowOff>
    </xdr:to>
    <xdr:sp macro="" textlink="">
      <xdr:nvSpPr>
        <xdr:cNvPr id="3073" name="WordArt 8"/>
        <xdr:cNvSpPr>
          <a:spLocks noChangeArrowheads="1" noChangeShapeType="1" noTextEdit="1"/>
        </xdr:cNvSpPr>
      </xdr:nvSpPr>
      <xdr:spPr bwMode="auto">
        <a:xfrm>
          <a:off x="723900" y="76200"/>
          <a:ext cx="2314575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k-SK" sz="3600" i="1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FFFFFF"/>
              </a:solidFill>
              <a:effectLst>
                <a:outerShdw dist="17819" dir="2700000" algn="ctr" rotWithShape="0">
                  <a:srgbClr val="000000">
                    <a:alpha val="80011"/>
                  </a:srgbClr>
                </a:outerShdw>
              </a:effectLst>
              <a:latin typeface="Arial Black"/>
            </a:rPr>
            <a:t>Aventos HS</a:t>
          </a:r>
        </a:p>
      </xdr:txBody>
    </xdr:sp>
    <xdr:clientData/>
  </xdr:twoCellAnchor>
  <xdr:twoCellAnchor>
    <xdr:from>
      <xdr:col>5</xdr:col>
      <xdr:colOff>219075</xdr:colOff>
      <xdr:row>9</xdr:row>
      <xdr:rowOff>104775</xdr:rowOff>
    </xdr:from>
    <xdr:to>
      <xdr:col>9</xdr:col>
      <xdr:colOff>47625</xdr:colOff>
      <xdr:row>18</xdr:row>
      <xdr:rowOff>85725</xdr:rowOff>
    </xdr:to>
    <xdr:pic>
      <xdr:nvPicPr>
        <xdr:cNvPr id="30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2325" y="1619250"/>
          <a:ext cx="1619250" cy="14382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600075</xdr:colOff>
      <xdr:row>2</xdr:row>
      <xdr:rowOff>142875</xdr:rowOff>
    </xdr:from>
    <xdr:to>
      <xdr:col>10</xdr:col>
      <xdr:colOff>466725</xdr:colOff>
      <xdr:row>7</xdr:row>
      <xdr:rowOff>171450</xdr:rowOff>
    </xdr:to>
    <xdr:pic>
      <xdr:nvPicPr>
        <xdr:cNvPr id="30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4375" y="504825"/>
          <a:ext cx="1390650" cy="9334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0</xdr:row>
      <xdr:rowOff>76200</xdr:rowOff>
    </xdr:from>
    <xdr:to>
      <xdr:col>4</xdr:col>
      <xdr:colOff>180975</xdr:colOff>
      <xdr:row>2</xdr:row>
      <xdr:rowOff>19050</xdr:rowOff>
    </xdr:to>
    <xdr:sp macro="" textlink="">
      <xdr:nvSpPr>
        <xdr:cNvPr id="4097" name="WordArt 8"/>
        <xdr:cNvSpPr>
          <a:spLocks noChangeArrowheads="1" noChangeShapeType="1" noTextEdit="1"/>
        </xdr:cNvSpPr>
      </xdr:nvSpPr>
      <xdr:spPr bwMode="auto">
        <a:xfrm>
          <a:off x="723900" y="76200"/>
          <a:ext cx="2314575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k-SK" sz="3600" i="1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FFFFFF"/>
              </a:solidFill>
              <a:effectLst>
                <a:outerShdw dist="17819" dir="2700000" algn="ctr" rotWithShape="0">
                  <a:srgbClr val="000000">
                    <a:alpha val="80011"/>
                  </a:srgbClr>
                </a:outerShdw>
              </a:effectLst>
              <a:latin typeface="Arial Black"/>
            </a:rPr>
            <a:t>Aventos HL</a:t>
          </a:r>
        </a:p>
      </xdr:txBody>
    </xdr:sp>
    <xdr:clientData/>
  </xdr:twoCellAnchor>
  <xdr:twoCellAnchor>
    <xdr:from>
      <xdr:col>5</xdr:col>
      <xdr:colOff>133350</xdr:colOff>
      <xdr:row>10</xdr:row>
      <xdr:rowOff>9525</xdr:rowOff>
    </xdr:from>
    <xdr:to>
      <xdr:col>8</xdr:col>
      <xdr:colOff>342900</xdr:colOff>
      <xdr:row>18</xdr:row>
      <xdr:rowOff>95250</xdr:rowOff>
    </xdr:to>
    <xdr:pic>
      <xdr:nvPicPr>
        <xdr:cNvPr id="409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1628775"/>
          <a:ext cx="1600200" cy="14763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152400</xdr:colOff>
      <xdr:row>3</xdr:row>
      <xdr:rowOff>19050</xdr:rowOff>
    </xdr:from>
    <xdr:to>
      <xdr:col>10</xdr:col>
      <xdr:colOff>295275</xdr:colOff>
      <xdr:row>10</xdr:row>
      <xdr:rowOff>123825</xdr:rowOff>
    </xdr:to>
    <xdr:pic>
      <xdr:nvPicPr>
        <xdr:cNvPr id="40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86300" y="561975"/>
          <a:ext cx="1171575" cy="11811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1"/>
  <sheetViews>
    <sheetView showGridLines="0" showRowColHeaders="0" tabSelected="1" zoomScaleNormal="100" zoomScaleSheetLayoutView="100" workbookViewId="0">
      <selection activeCell="B2" sqref="B2"/>
    </sheetView>
  </sheetViews>
  <sheetFormatPr defaultRowHeight="14.25"/>
  <cols>
    <col min="1" max="1" width="4.28515625" style="1" customWidth="1"/>
    <col min="2" max="2" width="14.42578125" style="1" customWidth="1"/>
    <col min="3" max="3" width="19.140625" style="1" customWidth="1"/>
    <col min="4" max="4" width="9.28515625" style="1" customWidth="1"/>
    <col min="5" max="5" width="4.28515625" style="1" customWidth="1"/>
    <col min="6" max="6" width="2.42578125" style="1" customWidth="1"/>
    <col min="7" max="8" width="5.85546875" style="1" customWidth="1"/>
    <col min="9" max="9" width="9.140625" style="1"/>
    <col min="10" max="10" width="5.140625" style="1" customWidth="1"/>
    <col min="11" max="11" width="7.42578125" style="1" customWidth="1"/>
    <col min="12" max="12" width="12.28515625" style="1" customWidth="1"/>
    <col min="13" max="14" width="10.85546875" style="1" customWidth="1"/>
    <col min="15" max="16384" width="9.140625" style="1"/>
  </cols>
  <sheetData>
    <row r="1" spans="2:13" ht="14.25" customHeight="1">
      <c r="K1" s="2"/>
      <c r="L1" s="3"/>
      <c r="M1" s="157"/>
    </row>
    <row r="2" spans="2:13" ht="14.25" customHeight="1">
      <c r="K2" s="2"/>
      <c r="L2" s="4"/>
      <c r="M2" s="158"/>
    </row>
    <row r="3" spans="2:13">
      <c r="M3" s="158"/>
    </row>
    <row r="5" spans="2:13">
      <c r="B5" s="5">
        <v>2</v>
      </c>
      <c r="C5" s="6"/>
      <c r="D5" s="6"/>
      <c r="E5" s="6"/>
      <c r="F5" s="6"/>
      <c r="G5" s="6"/>
      <c r="H5" s="6"/>
      <c r="I5" s="7"/>
      <c r="J5" s="6"/>
      <c r="K5" s="6"/>
    </row>
    <row r="6" spans="2:13">
      <c r="B6" s="8" t="s">
        <v>0</v>
      </c>
      <c r="C6" s="9"/>
      <c r="D6" s="9"/>
      <c r="E6" s="9"/>
      <c r="F6" s="9"/>
      <c r="G6" s="9"/>
      <c r="H6" s="9"/>
      <c r="I6" s="7"/>
    </row>
    <row r="7" spans="2:13">
      <c r="B7" s="10"/>
      <c r="C7" s="9"/>
      <c r="D7" s="9"/>
      <c r="E7" s="9"/>
      <c r="F7" s="9"/>
      <c r="G7" s="9"/>
      <c r="H7" s="9"/>
      <c r="I7" s="7"/>
    </row>
    <row r="8" spans="2:13" ht="15" customHeight="1">
      <c r="B8" s="11" t="s">
        <v>1</v>
      </c>
      <c r="C8" s="12" t="s">
        <v>2</v>
      </c>
      <c r="D8" s="13">
        <v>450</v>
      </c>
      <c r="L8" s="14"/>
      <c r="M8" s="14"/>
    </row>
    <row r="9" spans="2:13" s="18" customFormat="1" ht="4.5" customHeight="1">
      <c r="B9" s="15"/>
      <c r="C9" s="16"/>
      <c r="D9" s="17"/>
      <c r="L9" s="19"/>
      <c r="M9" s="19"/>
    </row>
    <row r="10" spans="2:13" ht="15" customHeight="1">
      <c r="B10" s="11" t="s">
        <v>3</v>
      </c>
      <c r="C10" s="12" t="s">
        <v>4</v>
      </c>
      <c r="D10" s="13">
        <v>700</v>
      </c>
      <c r="L10" s="14"/>
      <c r="M10" s="14"/>
    </row>
    <row r="11" spans="2:13" s="18" customFormat="1" ht="4.5" customHeight="1">
      <c r="B11" s="20"/>
      <c r="C11" s="21"/>
      <c r="D11" s="22"/>
      <c r="L11" s="19"/>
      <c r="M11" s="19"/>
    </row>
    <row r="12" spans="2:13" ht="15" customHeight="1">
      <c r="B12" s="11" t="s">
        <v>5</v>
      </c>
      <c r="C12" s="12" t="s">
        <v>6</v>
      </c>
      <c r="D12" s="13">
        <v>18</v>
      </c>
      <c r="E12" s="23"/>
      <c r="F12" s="23"/>
      <c r="G12" s="23"/>
      <c r="H12" s="23"/>
      <c r="I12" s="7"/>
      <c r="L12" s="14"/>
      <c r="M12" s="14"/>
    </row>
    <row r="13" spans="2:13" s="18" customFormat="1" ht="4.5" customHeight="1">
      <c r="B13" s="15"/>
      <c r="C13" s="16"/>
      <c r="D13" s="17"/>
      <c r="E13" s="24"/>
      <c r="F13" s="24"/>
      <c r="G13" s="24"/>
      <c r="H13" s="24"/>
      <c r="I13" s="25"/>
      <c r="L13" s="19"/>
      <c r="M13" s="19"/>
    </row>
    <row r="14" spans="2:13" ht="15" customHeight="1">
      <c r="B14" s="124" t="s">
        <v>7</v>
      </c>
      <c r="C14" s="124"/>
      <c r="D14" s="13">
        <v>300</v>
      </c>
      <c r="E14" s="6"/>
      <c r="F14" s="6"/>
      <c r="G14" s="6"/>
      <c r="H14" s="6"/>
      <c r="I14" s="7"/>
      <c r="J14" s="6"/>
      <c r="K14" s="6"/>
    </row>
    <row r="15" spans="2:13">
      <c r="B15" s="26"/>
      <c r="C15" s="26"/>
      <c r="E15" s="6"/>
      <c r="F15" s="6"/>
      <c r="G15" s="6"/>
      <c r="H15" s="6"/>
      <c r="I15" s="7"/>
      <c r="J15" s="6"/>
      <c r="K15" s="6"/>
    </row>
    <row r="16" spans="2:13" ht="15" customHeight="1">
      <c r="B16" s="125" t="s">
        <v>8</v>
      </c>
      <c r="C16" s="125"/>
      <c r="D16" s="27">
        <f>G121</f>
        <v>8.6183999999999994</v>
      </c>
      <c r="E16" s="6"/>
      <c r="G16" s="28"/>
      <c r="H16" s="23"/>
      <c r="I16" s="23"/>
      <c r="J16" s="7"/>
      <c r="K16" s="6"/>
    </row>
    <row r="17" spans="2:12" ht="15" customHeight="1">
      <c r="B17" s="126" t="s">
        <v>9</v>
      </c>
      <c r="C17" s="126"/>
      <c r="D17" s="29">
        <f>H121</f>
        <v>8026.56</v>
      </c>
      <c r="E17" s="6"/>
      <c r="H17" s="23"/>
      <c r="I17" s="23"/>
      <c r="J17" s="7"/>
      <c r="K17" s="6"/>
    </row>
    <row r="18" spans="2:12">
      <c r="E18" s="6"/>
      <c r="F18" s="6"/>
      <c r="G18" s="30"/>
      <c r="H18" s="23"/>
      <c r="I18" s="23"/>
      <c r="J18" s="7"/>
      <c r="K18" s="6"/>
    </row>
    <row r="19" spans="2:12">
      <c r="B19" s="31" t="str">
        <f>IF(OR(D10&lt;450,D10&gt;1800),"Pozor šírka čela je od 450 - 1800 mm ! !","")</f>
        <v/>
      </c>
      <c r="C19" s="6"/>
      <c r="D19" s="6"/>
      <c r="E19" s="6"/>
      <c r="F19" s="6"/>
      <c r="G19" s="6"/>
      <c r="H19" s="6"/>
      <c r="I19" s="7"/>
      <c r="J19" s="6"/>
      <c r="K19" s="6"/>
    </row>
    <row r="20" spans="2:12">
      <c r="B20" s="32"/>
      <c r="C20" s="6"/>
      <c r="D20" s="6"/>
      <c r="E20" s="6"/>
      <c r="F20" s="6"/>
      <c r="G20" s="6"/>
      <c r="H20" s="6"/>
      <c r="I20" s="7"/>
      <c r="J20" s="6"/>
      <c r="K20" s="6"/>
    </row>
    <row r="22" spans="2:12" s="35" customFormat="1" ht="32.25" customHeight="1">
      <c r="B22" s="127" t="s">
        <v>10</v>
      </c>
      <c r="C22" s="127"/>
      <c r="D22" s="127"/>
      <c r="E22" s="127"/>
      <c r="F22" s="127"/>
      <c r="G22" s="128" t="s">
        <v>11</v>
      </c>
      <c r="H22" s="128"/>
      <c r="I22" s="33" t="s">
        <v>12</v>
      </c>
      <c r="J22" s="33" t="s">
        <v>13</v>
      </c>
      <c r="K22" s="34"/>
      <c r="L22" s="34"/>
    </row>
    <row r="23" spans="2:12" s="35" customFormat="1" ht="20.25" customHeight="1">
      <c r="B23" s="129" t="str">
        <f>IF(J24="","",IF(D17&lt;5550,B123,IF(AND(D17&gt;=5550,D17&lt;9000),B124,B125)))</f>
        <v>sada zdvíh. mechanizmov, ukaz. výkonnosti: 5350-10150</v>
      </c>
      <c r="C23" s="129"/>
      <c r="D23" s="129"/>
      <c r="E23" s="129"/>
      <c r="F23" s="129"/>
      <c r="G23" s="130" t="str">
        <f>IF(J24="","",IF(D17&lt;5550,G123,IF(AND(D17&gt;=5550,D17&lt;9000),G124,G125)))</f>
        <v>20F2500</v>
      </c>
      <c r="H23" s="130"/>
      <c r="I23" s="37">
        <f>IF(J24="","",IF(D17&lt;5550,I123,IF(AND(D17&gt;=5550,D17&lt;9000),I124,I125)))</f>
        <v>318201</v>
      </c>
      <c r="J23" s="37">
        <f>IF(J24="","",1)</f>
        <v>1</v>
      </c>
      <c r="K23" s="38"/>
      <c r="L23" s="38"/>
    </row>
    <row r="24" spans="2:12" s="35" customFormat="1" ht="20.25" customHeight="1">
      <c r="B24" s="129" t="str">
        <f>IF(AND(D8*2&gt;=480,D8*2&lt;570),B126,IF(AND(D8*2&gt;=570,D8*2&lt;710),B127,IF(AND(D8*2&gt;=710,D8*2&lt;800),B128,IF(AND(D8*2&gt;=800,D8*2&lt;=1040),B129,J109))))</f>
        <v>sada teleskopov, výška korpusu 760-1040 mm</v>
      </c>
      <c r="C24" s="129"/>
      <c r="D24" s="129"/>
      <c r="E24" s="129"/>
      <c r="F24" s="129"/>
      <c r="G24" s="130" t="str">
        <f>IF(AND(D8*2&gt;=480,D8*2&lt;570),G126,IF(AND(D8*2&gt;=570,D8*2&lt;710),G127,IF(AND(D8*2&gt;=710,D8*2&lt;800),G128,IF(AND(D8*2&gt;=800,D8*2&lt;=1040),G129,""))))</f>
        <v>20F3900</v>
      </c>
      <c r="H24" s="130"/>
      <c r="I24" s="37">
        <f>IF(AND(D8*2&gt;=480,D8*2&lt;570),I126,IF(AND(D8*2&gt;=570,D8*2&lt;710),I127,IF(AND(D8*2&gt;=710,D8*2&lt;800),I128,IF(AND(D8*2&gt;=800,D8*2&lt;=1040),I129,""))))</f>
        <v>318208</v>
      </c>
      <c r="J24" s="37">
        <f>IF(AND(D8*2&gt;=480,D8*2&lt;570),1,IF(AND(D8*2&gt;=570,D8*2&lt;710),1,IF(AND(D8*2&gt;=710,D8*2&lt;800),1,IF(AND(D8*2&gt;=800,D8*2&lt;=1040),1,""))))</f>
        <v>1</v>
      </c>
      <c r="K24" s="38"/>
      <c r="L24" s="38"/>
    </row>
    <row r="25" spans="2:12" s="6" customFormat="1" ht="20.25" customHeight="1">
      <c r="B25" s="131" t="str">
        <f>IF(J24="","",B130)</f>
        <v>montážna platnička na priskrutkovanie</v>
      </c>
      <c r="C25" s="131"/>
      <c r="D25" s="131"/>
      <c r="E25" s="131"/>
      <c r="F25" s="131"/>
      <c r="G25" s="132" t="str">
        <f>IF(J24="","",G130)</f>
        <v>175H5100.05</v>
      </c>
      <c r="H25" s="132"/>
      <c r="I25" s="39">
        <f>IF(J24="","",I130)</f>
        <v>311458</v>
      </c>
      <c r="J25" s="39">
        <f>IF(J24="","",IF(OR(B5=1,B5=2,AND(B5&gt;=6,B5&lt;=8),B5=11,B5=12),IF(D10&gt;1799,10,IF(D10&gt;1199,8,6)),IF(OR(B5=4,B5=5,B5=9,B5=10),IF(D10&gt;1799,8,IF(D10&gt;1199,6,4)),2)))</f>
        <v>6</v>
      </c>
      <c r="K25" s="27"/>
      <c r="L25" s="38"/>
    </row>
    <row r="26" spans="2:12" s="6" customFormat="1" ht="20.25" customHeight="1">
      <c r="B26" s="131" t="str">
        <f>IF(J24="","",IF(OR(B5=1,B5=2,AND(B5&gt;=6,B5&lt;=12)),B131,""))</f>
        <v>stredový záves CLIP top, naskrutk. miska bez pružiny</v>
      </c>
      <c r="C26" s="131"/>
      <c r="D26" s="131"/>
      <c r="E26" s="131"/>
      <c r="F26" s="131"/>
      <c r="G26" s="132" t="str">
        <f>IF(J24="","",IF(OR(B5=1,B5=2,AND(B5&gt;=6,B5&lt;=12)),G131,""))</f>
        <v>78Z5500T</v>
      </c>
      <c r="H26" s="132"/>
      <c r="I26" s="39">
        <f>IF(J24="","",IF(OR(B5=1,B5=2,AND(B5&gt;=6,B5&lt;=12)),I131,""))</f>
        <v>318210</v>
      </c>
      <c r="J26" s="39">
        <f>IF(J24="","",IF(OR(B5=1,B5=2,AND(B5&gt;=6,B5&lt;=12)),IF(D10&gt;1799,4,IF(D10&gt;1199,3,2)),""))</f>
        <v>2</v>
      </c>
      <c r="K26" s="27"/>
      <c r="L26" s="38"/>
    </row>
    <row r="27" spans="2:12" s="6" customFormat="1" ht="20.25" customHeight="1">
      <c r="B27" s="131" t="str">
        <f>IF(J24="","",IF(OR(B5=1,B5=2,AND(B5&gt;=4,B5&lt;=8)),B132,""))</f>
        <v>záves CLIP top 120 stup., naskrutk. miska bez pružiny</v>
      </c>
      <c r="C27" s="131"/>
      <c r="D27" s="131"/>
      <c r="E27" s="131"/>
      <c r="F27" s="131"/>
      <c r="G27" s="132" t="str">
        <f>IF(J24="","",IF(OR(B5=1,B5=2,AND(B5&gt;=4,B5&lt;=8)),G132,""))</f>
        <v>70T5550</v>
      </c>
      <c r="H27" s="132"/>
      <c r="I27" s="39">
        <f>IF(J24="","",IF(OR(B5=1,B5=2,AND(B5&gt;=4,B5&lt;=8)),I132,""))</f>
        <v>311280</v>
      </c>
      <c r="J27" s="39">
        <f>IF(J24="","",IF(OR(B5=1,B5=2,AND(B5&gt;=4,B5&lt;=8)),IF(D10&gt;1799,4,IF(D10&gt;1199,3,2)),""))</f>
        <v>2</v>
      </c>
      <c r="K27" s="27"/>
      <c r="L27" s="38"/>
    </row>
    <row r="28" spans="2:12" s="6" customFormat="1" ht="20.25" customHeight="1">
      <c r="B28" s="131" t="str">
        <f>IF(AND(B5&gt;=3,B5&lt;=5),B133,"")</f>
        <v/>
      </c>
      <c r="C28" s="131"/>
      <c r="D28" s="131"/>
      <c r="E28" s="131"/>
      <c r="F28" s="131"/>
      <c r="G28" s="132" t="str">
        <f>IF(AND(B5&gt;=3,B5&lt;=5),G133,"")</f>
        <v/>
      </c>
      <c r="H28" s="132"/>
      <c r="I28" s="39" t="str">
        <f>IF(AND(B5&gt;=3,B5&lt;=5),I133,"")</f>
        <v/>
      </c>
      <c r="J28" s="39" t="str">
        <f>IF(AND(B5&gt;=3,B5&lt;=5),1,"")</f>
        <v/>
      </c>
      <c r="K28" s="27" t="str">
        <f>IF(AND(B5&gt;=3,B5&lt;=5),K133,"")</f>
        <v/>
      </c>
      <c r="L28" s="38" t="str">
        <f>IF(AND(B5&gt;=3,B5&lt;=5),L133,"")</f>
        <v/>
      </c>
    </row>
    <row r="29" spans="2:12" s="6" customFormat="1" ht="20.25" customHeight="1">
      <c r="B29" s="131" t="str">
        <f>IF(AND(B5&gt;=3,B5&lt;=5),B134,"")</f>
        <v/>
      </c>
      <c r="C29" s="131"/>
      <c r="D29" s="131"/>
      <c r="E29" s="131"/>
      <c r="F29" s="131"/>
      <c r="G29" s="132" t="str">
        <f>IF(AND(B5&gt;=3,B5&lt;=5),G134,"")</f>
        <v/>
      </c>
      <c r="H29" s="132"/>
      <c r="I29" s="39" t="str">
        <f>IF(AND(B5&gt;=3,B5&lt;=5),I134,"")</f>
        <v/>
      </c>
      <c r="J29" s="39" t="str">
        <f>IF(AND(B5&gt;=3,B5&lt;=5),1,"")</f>
        <v/>
      </c>
      <c r="K29" s="27" t="str">
        <f>IF(AND(B5&gt;=3,B5&lt;=5),K134,"")</f>
        <v/>
      </c>
      <c r="L29" s="38" t="str">
        <f>IF(AND(B5&gt;=3,B5&lt;=5),L134,"")</f>
        <v/>
      </c>
    </row>
    <row r="30" spans="2:12" s="6" customFormat="1" ht="20.25" customHeight="1">
      <c r="B30" s="131" t="str">
        <f>IF(AND(B5&gt;=3,B5&lt;=5),B135,"")</f>
        <v/>
      </c>
      <c r="C30" s="131"/>
      <c r="D30" s="131"/>
      <c r="E30" s="131"/>
      <c r="F30" s="131"/>
      <c r="G30" s="132" t="str">
        <f>IF(AND(B5&gt;=3,B5&lt;=5),G135,"")</f>
        <v/>
      </c>
      <c r="H30" s="132"/>
      <c r="I30" s="39" t="str">
        <f>IF(AND(B5&gt;=3,B5&lt;=5),I135,"")</f>
        <v/>
      </c>
      <c r="J30" s="39" t="str">
        <f>IF(AND(B5&gt;=3,B5&lt;=5),IF(D10&gt;1799,4,IF(D10&gt;1199,3,2)),"")</f>
        <v/>
      </c>
      <c r="K30" s="27" t="str">
        <f>IF(AND(B5&gt;=3,B5&lt;=5),K135,"")</f>
        <v/>
      </c>
      <c r="L30" s="38" t="str">
        <f>IF(AND(B5&gt;=3,B5&lt;=5),L135,"")</f>
        <v/>
      </c>
    </row>
    <row r="31" spans="2:12" s="6" customFormat="1" ht="20.25" customHeight="1">
      <c r="B31" s="131" t="str">
        <f>IF(OR(B5=3,B5=9,B5=10),B136,"")</f>
        <v/>
      </c>
      <c r="C31" s="131"/>
      <c r="D31" s="131"/>
      <c r="E31" s="131"/>
      <c r="F31" s="131"/>
      <c r="G31" s="132" t="str">
        <f>IF(OR(B5=3,B5=9,B5=10),G136,"")</f>
        <v/>
      </c>
      <c r="H31" s="132"/>
      <c r="I31" s="39" t="str">
        <f>IF(OR(B5=3,B5=9,B5=10),I136,"")</f>
        <v/>
      </c>
      <c r="J31" s="39" t="str">
        <f>IF(OR(B5=3,B5=9,B5=10),IF(D10&gt;1799,4,IF(D10&gt;1199,3,2)),"")</f>
        <v/>
      </c>
      <c r="K31" s="27" t="str">
        <f>IF(OR(B5=3,B5=9,B5=10),K136,"")</f>
        <v/>
      </c>
      <c r="L31" s="38" t="str">
        <f>IF(OR(B5=3,B5=9,B5=10),L136,"")</f>
        <v/>
      </c>
    </row>
    <row r="32" spans="2:12" s="6" customFormat="1" ht="20.25" customHeight="1">
      <c r="B32" s="131" t="str">
        <f>IF(OR(B5=3,B5=9,B5=10),B137,"")</f>
        <v/>
      </c>
      <c r="C32" s="131"/>
      <c r="D32" s="131"/>
      <c r="E32" s="131"/>
      <c r="F32" s="131"/>
      <c r="G32" s="132" t="str">
        <f>IF(OR(B5=3,B5=9,B5=10),G137,"")</f>
        <v/>
      </c>
      <c r="H32" s="132"/>
      <c r="I32" s="39" t="str">
        <f>IF(OR(B5=3,B5=9,B5=10),I137,"")</f>
        <v/>
      </c>
      <c r="J32" s="39" t="str">
        <f>IF(OR(B5=3,B5=9,B5=10),IF(D10&gt;1799,4,IF(D10&gt;1199,3,2)),"")</f>
        <v/>
      </c>
      <c r="K32" s="27" t="str">
        <f>IF(OR(B5=3,B5=9,B5=10),K137,"")</f>
        <v/>
      </c>
      <c r="L32" s="38" t="str">
        <f>IF(OR(B5=3,B5=9,B5=10),L137,"")</f>
        <v/>
      </c>
    </row>
    <row r="33" spans="2:11" s="6" customFormat="1" ht="20.25" customHeight="1">
      <c r="B33" s="9"/>
      <c r="C33" s="9"/>
      <c r="D33" s="9"/>
      <c r="E33" s="9"/>
      <c r="F33" s="9"/>
    </row>
    <row r="34" spans="2:11" ht="18.75" hidden="1" customHeight="1">
      <c r="B34" s="133"/>
      <c r="C34" s="133"/>
      <c r="D34" s="133"/>
      <c r="E34" s="133"/>
      <c r="H34" s="134" t="s">
        <v>14</v>
      </c>
      <c r="I34" s="134"/>
      <c r="J34" s="40" t="s">
        <v>15</v>
      </c>
      <c r="K34" s="41">
        <f>SUM(K23:K32)</f>
        <v>0</v>
      </c>
    </row>
    <row r="35" spans="2:11" ht="18.75" hidden="1" customHeight="1">
      <c r="B35" s="133"/>
      <c r="C35" s="133"/>
      <c r="D35" s="133"/>
      <c r="E35" s="133"/>
      <c r="H35" s="135" t="s">
        <v>16</v>
      </c>
      <c r="I35" s="135"/>
      <c r="J35" s="40" t="s">
        <v>17</v>
      </c>
      <c r="K35" s="41">
        <f>SUM(L23:L32)</f>
        <v>0</v>
      </c>
    </row>
    <row r="36" spans="2:11">
      <c r="B36" s="133"/>
      <c r="C36" s="133"/>
      <c r="D36" s="133"/>
      <c r="E36" s="133"/>
    </row>
    <row r="37" spans="2:11">
      <c r="B37" s="133"/>
      <c r="C37" s="133"/>
      <c r="D37" s="133"/>
      <c r="E37" s="133"/>
    </row>
    <row r="93" spans="2:16" ht="16.5" customHeight="1"/>
    <row r="94" spans="2:16" ht="20.25" customHeight="1"/>
    <row r="95" spans="2:16" ht="20.25" customHeight="1"/>
    <row r="96" spans="2:16" ht="22.5" customHeight="1">
      <c r="B96" s="42"/>
      <c r="C96" s="43"/>
      <c r="D96" s="43"/>
      <c r="E96" s="44"/>
      <c r="F96" s="45"/>
      <c r="G96" s="45"/>
      <c r="H96" s="44"/>
      <c r="I96" s="44"/>
      <c r="J96" s="44"/>
      <c r="K96" s="46"/>
      <c r="L96" s="47"/>
      <c r="M96" s="48"/>
      <c r="N96" s="49"/>
      <c r="O96" s="49"/>
      <c r="P96" s="43"/>
    </row>
    <row r="97" spans="2:16" ht="12.75" customHeight="1">
      <c r="B97" s="43"/>
      <c r="C97" s="43"/>
      <c r="D97" s="43"/>
      <c r="E97" s="44"/>
      <c r="F97" s="45"/>
      <c r="G97" s="45"/>
      <c r="H97" s="44"/>
      <c r="I97" s="44"/>
      <c r="J97" s="44"/>
      <c r="K97" s="46"/>
      <c r="L97" s="47"/>
      <c r="M97" s="48"/>
      <c r="N97" s="49"/>
      <c r="O97" s="49"/>
      <c r="P97" s="43"/>
    </row>
    <row r="98" spans="2:16" ht="12.75" hidden="1" customHeight="1">
      <c r="B98" s="42"/>
      <c r="C98" s="43"/>
      <c r="D98" s="43"/>
      <c r="E98" s="44"/>
      <c r="F98" s="45"/>
      <c r="G98" s="45"/>
      <c r="H98" s="44"/>
      <c r="I98" s="44"/>
      <c r="J98" s="44"/>
      <c r="K98" s="46"/>
      <c r="L98" s="47"/>
      <c r="M98" s="48"/>
      <c r="N98" s="49"/>
      <c r="O98" s="49"/>
      <c r="P98" s="43"/>
    </row>
    <row r="99" spans="2:16" ht="12.75" hidden="1" customHeight="1">
      <c r="B99" s="50"/>
      <c r="C99" s="51" t="s">
        <v>18</v>
      </c>
      <c r="D99" s="51" t="s">
        <v>19</v>
      </c>
      <c r="E99" s="52" t="s">
        <v>20</v>
      </c>
      <c r="F99" s="51" t="s">
        <v>21</v>
      </c>
      <c r="G99" s="51" t="s">
        <v>13</v>
      </c>
      <c r="H99" s="136" t="s">
        <v>22</v>
      </c>
      <c r="I99" s="136"/>
      <c r="J99" s="53" t="s">
        <v>23</v>
      </c>
      <c r="K99" s="54" t="s">
        <v>24</v>
      </c>
      <c r="M99" s="55"/>
      <c r="N99" s="49"/>
      <c r="O99" s="49"/>
      <c r="P99" s="43"/>
    </row>
    <row r="100" spans="2:16" ht="12.75" hidden="1" customHeight="1">
      <c r="B100" s="56"/>
      <c r="C100" s="57" t="s">
        <v>25</v>
      </c>
      <c r="D100" s="57" t="s">
        <v>26</v>
      </c>
      <c r="E100" s="58" t="s">
        <v>26</v>
      </c>
      <c r="F100" s="57" t="s">
        <v>26</v>
      </c>
      <c r="G100" s="57" t="s">
        <v>27</v>
      </c>
      <c r="H100" s="59" t="s">
        <v>28</v>
      </c>
      <c r="I100" s="60" t="s">
        <v>29</v>
      </c>
      <c r="J100" s="61" t="s">
        <v>30</v>
      </c>
      <c r="K100" s="62"/>
      <c r="M100" s="55"/>
      <c r="N100" s="49"/>
      <c r="O100" s="49"/>
      <c r="P100" s="43"/>
    </row>
    <row r="101" spans="2:16" ht="12.75" hidden="1" customHeight="1">
      <c r="B101" s="137" t="s">
        <v>31</v>
      </c>
      <c r="C101" s="39">
        <v>7.25</v>
      </c>
      <c r="D101" s="37">
        <f>D10</f>
        <v>700</v>
      </c>
      <c r="E101" s="36">
        <f>D8</f>
        <v>450</v>
      </c>
      <c r="F101" s="37">
        <v>19</v>
      </c>
      <c r="G101" s="37">
        <v>1</v>
      </c>
      <c r="H101" s="37">
        <f>(D101*2+E101*2)*G101</f>
        <v>2300</v>
      </c>
      <c r="I101" s="63">
        <f>H101/10</f>
        <v>230</v>
      </c>
      <c r="J101" s="64">
        <f>I101*$C$101/1000</f>
        <v>1.6675</v>
      </c>
      <c r="K101" s="37" t="s">
        <v>32</v>
      </c>
      <c r="O101" s="49"/>
      <c r="P101" s="43"/>
    </row>
    <row r="102" spans="2:16" ht="12.75" hidden="1" customHeight="1">
      <c r="B102" s="137"/>
      <c r="C102" s="38">
        <f>200/57</f>
        <v>3.5087719298245612</v>
      </c>
      <c r="D102" s="37">
        <f>D10</f>
        <v>700</v>
      </c>
      <c r="E102" s="36">
        <f>D8</f>
        <v>450</v>
      </c>
      <c r="F102" s="37">
        <v>19</v>
      </c>
      <c r="G102" s="37">
        <v>1</v>
      </c>
      <c r="H102" s="37">
        <f>(D102*2+E102*2)*G102</f>
        <v>2300</v>
      </c>
      <c r="I102" s="63">
        <f>H102/10</f>
        <v>230</v>
      </c>
      <c r="J102" s="64">
        <f>I102*$C$102/1000</f>
        <v>0.80701754385964908</v>
      </c>
      <c r="K102" s="37" t="s">
        <v>33</v>
      </c>
      <c r="O102" s="49"/>
      <c r="P102" s="43"/>
    </row>
    <row r="103" spans="2:16" ht="12.75" hidden="1" customHeight="1">
      <c r="B103" s="37" t="s">
        <v>34</v>
      </c>
      <c r="C103" s="65">
        <v>2200</v>
      </c>
      <c r="D103" s="37">
        <f>D10</f>
        <v>700</v>
      </c>
      <c r="E103" s="36">
        <f>D8</f>
        <v>450</v>
      </c>
      <c r="F103" s="37">
        <v>4</v>
      </c>
      <c r="G103" s="37">
        <v>1</v>
      </c>
      <c r="H103" s="63">
        <f>D103*E103*F103*G103</f>
        <v>1260000</v>
      </c>
      <c r="I103" s="66">
        <f>H103/1000000000</f>
        <v>1.2600000000000001E-3</v>
      </c>
      <c r="J103" s="67">
        <f>I103*$C$103</f>
        <v>2.7720000000000002</v>
      </c>
      <c r="K103" s="68"/>
      <c r="M103" s="48"/>
      <c r="N103" s="49"/>
      <c r="O103" s="49"/>
      <c r="P103" s="43"/>
    </row>
    <row r="104" spans="2:16" ht="12.75" hidden="1" customHeight="1">
      <c r="B104" s="137" t="s">
        <v>35</v>
      </c>
      <c r="C104" s="64">
        <f>SUM(J101,J103)</f>
        <v>4.4395000000000007</v>
      </c>
      <c r="D104" s="37" t="s">
        <v>32</v>
      </c>
      <c r="E104" s="69"/>
      <c r="F104" s="70"/>
      <c r="G104" s="70"/>
      <c r="H104" s="69"/>
      <c r="I104" s="69"/>
      <c r="J104" s="71"/>
      <c r="K104" s="72"/>
      <c r="L104" s="47"/>
      <c r="M104" s="48"/>
      <c r="N104" s="49"/>
      <c r="O104" s="49"/>
      <c r="P104" s="43"/>
    </row>
    <row r="105" spans="2:16" ht="12.75" hidden="1" customHeight="1">
      <c r="B105" s="137"/>
      <c r="C105" s="64">
        <f>SUM(J102,J103)</f>
        <v>3.5790175438596492</v>
      </c>
      <c r="D105" s="37" t="s">
        <v>33</v>
      </c>
      <c r="E105" s="73"/>
      <c r="F105" s="74"/>
      <c r="G105" s="74"/>
      <c r="H105" s="73"/>
      <c r="I105" s="73"/>
      <c r="J105" s="75"/>
      <c r="K105" s="76"/>
      <c r="L105" s="47"/>
      <c r="M105" s="48"/>
      <c r="N105" s="49"/>
      <c r="O105" s="49"/>
      <c r="P105" s="43"/>
    </row>
    <row r="106" spans="2:16" ht="12.75" hidden="1" customHeight="1">
      <c r="B106" s="43"/>
      <c r="C106" s="43"/>
      <c r="D106" s="43"/>
      <c r="E106" s="44"/>
      <c r="F106" s="45"/>
      <c r="G106" s="45"/>
      <c r="H106" s="44"/>
      <c r="I106" s="44"/>
      <c r="J106" s="77"/>
      <c r="K106" s="46"/>
      <c r="L106" s="47"/>
      <c r="M106" s="48"/>
      <c r="N106" s="49"/>
      <c r="O106" s="49"/>
      <c r="P106" s="43"/>
    </row>
    <row r="107" spans="2:16" ht="12.75" hidden="1" customHeight="1"/>
    <row r="108" spans="2:16" ht="12.75" hidden="1" customHeight="1">
      <c r="B108" s="138" t="s">
        <v>36</v>
      </c>
      <c r="C108" s="138"/>
      <c r="D108" s="138"/>
      <c r="E108" s="138"/>
      <c r="F108" s="138"/>
    </row>
    <row r="109" spans="2:16" ht="12.75" hidden="1" customHeight="1">
      <c r="B109" s="139" t="s">
        <v>37</v>
      </c>
      <c r="C109" s="139"/>
      <c r="D109" s="139"/>
      <c r="E109" s="139"/>
      <c r="F109" s="139"/>
      <c r="G109" s="27">
        <f>(D8*D12*D10)/1000000000*680*2</f>
        <v>7.7111999999999998</v>
      </c>
      <c r="H109" s="78">
        <v>1</v>
      </c>
      <c r="J109" s="79" t="s">
        <v>38</v>
      </c>
    </row>
    <row r="110" spans="2:16" ht="12.75" hidden="1" customHeight="1">
      <c r="B110" s="139" t="s">
        <v>39</v>
      </c>
      <c r="C110" s="139"/>
      <c r="D110" s="139"/>
      <c r="E110" s="139"/>
      <c r="F110" s="139"/>
      <c r="G110" s="27">
        <f>(D8*D12*D10)/1000000000*760*2</f>
        <v>8.6183999999999994</v>
      </c>
      <c r="H110" s="78">
        <v>2</v>
      </c>
      <c r="J110" s="80" t="s">
        <v>40</v>
      </c>
    </row>
    <row r="111" spans="2:16" ht="12.75" hidden="1" customHeight="1">
      <c r="B111" s="139" t="s">
        <v>41</v>
      </c>
      <c r="C111" s="139"/>
      <c r="D111" s="139"/>
      <c r="E111" s="139"/>
      <c r="F111" s="139"/>
      <c r="G111" s="27">
        <f>C105*2</f>
        <v>7.1580350877192984</v>
      </c>
      <c r="H111" s="78">
        <v>3</v>
      </c>
    </row>
    <row r="112" spans="2:16" ht="12.75" hidden="1" customHeight="1">
      <c r="B112" s="139" t="s">
        <v>42</v>
      </c>
      <c r="C112" s="139"/>
      <c r="D112" s="139"/>
      <c r="E112" s="139"/>
      <c r="F112" s="139"/>
      <c r="G112" s="27">
        <f>C105+G109/2</f>
        <v>7.4346175438596491</v>
      </c>
      <c r="H112" s="78">
        <v>4</v>
      </c>
    </row>
    <row r="113" spans="2:12" ht="12.75" hidden="1" customHeight="1">
      <c r="B113" s="139" t="s">
        <v>43</v>
      </c>
      <c r="C113" s="139"/>
      <c r="D113" s="139"/>
      <c r="E113" s="139"/>
      <c r="F113" s="139"/>
      <c r="G113" s="27">
        <f>C105+G110/2</f>
        <v>7.8882175438596489</v>
      </c>
      <c r="H113" s="78">
        <v>5</v>
      </c>
    </row>
    <row r="114" spans="2:12" ht="12.75" hidden="1" customHeight="1">
      <c r="B114" s="139" t="s">
        <v>44</v>
      </c>
      <c r="C114" s="139"/>
      <c r="D114" s="139"/>
      <c r="E114" s="139"/>
      <c r="F114" s="139"/>
      <c r="G114" s="27">
        <f>C104*2</f>
        <v>8.8790000000000013</v>
      </c>
      <c r="H114" s="78">
        <v>6</v>
      </c>
    </row>
    <row r="115" spans="2:12" ht="12.75" hidden="1" customHeight="1">
      <c r="B115" s="139" t="s">
        <v>45</v>
      </c>
      <c r="C115" s="139"/>
      <c r="D115" s="139"/>
      <c r="E115" s="139"/>
      <c r="F115" s="139"/>
      <c r="G115" s="27">
        <f>C104+G109/2</f>
        <v>8.2951000000000015</v>
      </c>
      <c r="H115" s="78">
        <v>7</v>
      </c>
    </row>
    <row r="116" spans="2:12" ht="12.75" hidden="1" customHeight="1">
      <c r="B116" s="139" t="s">
        <v>46</v>
      </c>
      <c r="C116" s="139"/>
      <c r="D116" s="139"/>
      <c r="E116" s="139"/>
      <c r="F116" s="139"/>
      <c r="G116" s="27">
        <f>C104+G110/2</f>
        <v>8.7486999999999995</v>
      </c>
      <c r="H116" s="78">
        <v>8</v>
      </c>
    </row>
    <row r="117" spans="2:12" ht="12.75" hidden="1" customHeight="1">
      <c r="B117" s="139" t="s">
        <v>47</v>
      </c>
      <c r="C117" s="139"/>
      <c r="D117" s="139"/>
      <c r="E117" s="139"/>
      <c r="F117" s="139"/>
      <c r="G117" s="27">
        <f>C105+G109/2</f>
        <v>7.4346175438596491</v>
      </c>
      <c r="H117" s="78">
        <v>9</v>
      </c>
    </row>
    <row r="118" spans="2:12" ht="12.75" hidden="1" customHeight="1">
      <c r="B118" s="139" t="s">
        <v>48</v>
      </c>
      <c r="C118" s="139"/>
      <c r="D118" s="139"/>
      <c r="E118" s="139"/>
      <c r="F118" s="139"/>
      <c r="G118" s="27">
        <f>C105+G110/2</f>
        <v>7.8882175438596489</v>
      </c>
      <c r="H118" s="78">
        <v>10</v>
      </c>
    </row>
    <row r="119" spans="2:12" ht="12.75" hidden="1" customHeight="1">
      <c r="B119" s="139" t="s">
        <v>49</v>
      </c>
      <c r="C119" s="139"/>
      <c r="D119" s="139"/>
      <c r="E119" s="139"/>
      <c r="F119" s="139"/>
      <c r="G119" s="27">
        <f>C104+G109/2</f>
        <v>8.2951000000000015</v>
      </c>
      <c r="H119" s="78">
        <v>11</v>
      </c>
    </row>
    <row r="120" spans="2:12" ht="12.75" hidden="1" customHeight="1">
      <c r="B120" s="139" t="s">
        <v>50</v>
      </c>
      <c r="C120" s="139"/>
      <c r="D120" s="139"/>
      <c r="E120" s="139"/>
      <c r="F120" s="139"/>
      <c r="G120" s="27">
        <f>C104+G110/2</f>
        <v>8.7486999999999995</v>
      </c>
      <c r="H120" s="78">
        <v>12</v>
      </c>
    </row>
    <row r="121" spans="2:12" ht="12.75" hidden="1" customHeight="1">
      <c r="B121" s="140"/>
      <c r="C121" s="140"/>
      <c r="D121" s="140"/>
      <c r="E121" s="140"/>
      <c r="F121" s="140"/>
      <c r="G121" s="81">
        <f>LOOKUP(B5,H109:H120,G109:G120)</f>
        <v>8.6183999999999994</v>
      </c>
      <c r="H121" s="81">
        <f>(2*D8)*(G121+D14/1000)</f>
        <v>8026.56</v>
      </c>
    </row>
    <row r="122" spans="2:12" ht="12.75" hidden="1" customHeight="1"/>
    <row r="123" spans="2:12" ht="12.75" hidden="1" customHeight="1">
      <c r="B123" s="141" t="s">
        <v>51</v>
      </c>
      <c r="C123" s="141"/>
      <c r="D123" s="141"/>
      <c r="E123" s="141"/>
      <c r="F123" s="141"/>
      <c r="G123" s="142" t="s">
        <v>52</v>
      </c>
      <c r="H123" s="142"/>
      <c r="I123" s="83">
        <v>318200</v>
      </c>
      <c r="J123" s="84">
        <v>54.77</v>
      </c>
      <c r="K123" s="27">
        <f>J123-((J123/100)*M2)</f>
        <v>54.77</v>
      </c>
      <c r="L123" s="84">
        <f>K123*30.126</f>
        <v>1650.0010200000002</v>
      </c>
    </row>
    <row r="124" spans="2:12" ht="12.75" hidden="1" customHeight="1">
      <c r="B124" s="141" t="s">
        <v>53</v>
      </c>
      <c r="C124" s="141"/>
      <c r="D124" s="141"/>
      <c r="E124" s="141"/>
      <c r="F124" s="141"/>
      <c r="G124" s="142" t="s">
        <v>54</v>
      </c>
      <c r="H124" s="142"/>
      <c r="I124" s="83">
        <v>318201</v>
      </c>
      <c r="J124" s="84">
        <v>58.42</v>
      </c>
      <c r="K124" s="27">
        <f>J124-((J124/100)*M2)</f>
        <v>58.42</v>
      </c>
      <c r="L124" s="84">
        <f t="shared" ref="L124:L137" si="0">K124*30.126</f>
        <v>1759.9609200000002</v>
      </c>
    </row>
    <row r="125" spans="2:12" ht="12.75" hidden="1" customHeight="1">
      <c r="B125" s="141" t="s">
        <v>55</v>
      </c>
      <c r="C125" s="141"/>
      <c r="D125" s="141"/>
      <c r="E125" s="141"/>
      <c r="F125" s="141"/>
      <c r="G125" s="142" t="s">
        <v>56</v>
      </c>
      <c r="H125" s="142"/>
      <c r="I125" s="83">
        <v>318202</v>
      </c>
      <c r="J125" s="84">
        <v>64.680000000000007</v>
      </c>
      <c r="K125" s="27">
        <f>J125-((J125/100)*M2)</f>
        <v>64.680000000000007</v>
      </c>
      <c r="L125" s="84">
        <f t="shared" si="0"/>
        <v>1948.5496800000003</v>
      </c>
    </row>
    <row r="126" spans="2:12" ht="12.75" hidden="1" customHeight="1">
      <c r="B126" s="143" t="s">
        <v>57</v>
      </c>
      <c r="C126" s="143"/>
      <c r="D126" s="143"/>
      <c r="E126" s="143"/>
      <c r="F126" s="143"/>
      <c r="G126" s="142" t="s">
        <v>58</v>
      </c>
      <c r="H126" s="142"/>
      <c r="I126" s="83">
        <v>318205</v>
      </c>
      <c r="J126" s="84">
        <v>25.06</v>
      </c>
      <c r="K126" s="27">
        <f>J126-((J126/100)*M2)</f>
        <v>25.06</v>
      </c>
      <c r="L126" s="84">
        <f t="shared" si="0"/>
        <v>754.95755999999994</v>
      </c>
    </row>
    <row r="127" spans="2:12" ht="12.75" hidden="1" customHeight="1">
      <c r="B127" s="143" t="s">
        <v>59</v>
      </c>
      <c r="C127" s="143"/>
      <c r="D127" s="143"/>
      <c r="E127" s="143"/>
      <c r="F127" s="143"/>
      <c r="G127" s="142" t="s">
        <v>60</v>
      </c>
      <c r="H127" s="142"/>
      <c r="I127" s="83">
        <v>318206</v>
      </c>
      <c r="J127" s="84">
        <v>25.06</v>
      </c>
      <c r="K127" s="27">
        <f>J127-((J127/100)*M2)</f>
        <v>25.06</v>
      </c>
      <c r="L127" s="84">
        <f t="shared" si="0"/>
        <v>754.95755999999994</v>
      </c>
    </row>
    <row r="128" spans="2:12" ht="12.75" hidden="1" customHeight="1">
      <c r="B128" s="143" t="s">
        <v>61</v>
      </c>
      <c r="C128" s="143"/>
      <c r="D128" s="143"/>
      <c r="E128" s="143"/>
      <c r="F128" s="143"/>
      <c r="G128" s="142" t="s">
        <v>62</v>
      </c>
      <c r="H128" s="142"/>
      <c r="I128" s="83">
        <v>318207</v>
      </c>
      <c r="J128" s="84">
        <v>33.33</v>
      </c>
      <c r="K128" s="27">
        <f>J128-((J128/100)*M2)</f>
        <v>33.33</v>
      </c>
      <c r="L128" s="84">
        <f t="shared" si="0"/>
        <v>1004.0995799999999</v>
      </c>
    </row>
    <row r="129" spans="2:12" ht="12.75" hidden="1" customHeight="1">
      <c r="B129" s="143" t="s">
        <v>63</v>
      </c>
      <c r="C129" s="143"/>
      <c r="D129" s="143"/>
      <c r="E129" s="143"/>
      <c r="F129" s="143"/>
      <c r="G129" s="142" t="s">
        <v>64</v>
      </c>
      <c r="H129" s="142"/>
      <c r="I129" s="83">
        <v>318208</v>
      </c>
      <c r="J129" s="84">
        <v>37.340000000000003</v>
      </c>
      <c r="K129" s="27">
        <f>J129-((J129/100)*M2)</f>
        <v>37.340000000000003</v>
      </c>
      <c r="L129" s="84">
        <f t="shared" si="0"/>
        <v>1124.9048400000001</v>
      </c>
    </row>
    <row r="130" spans="2:12" ht="12.75" hidden="1" customHeight="1">
      <c r="B130" s="141" t="s">
        <v>65</v>
      </c>
      <c r="C130" s="141"/>
      <c r="D130" s="141"/>
      <c r="E130" s="141"/>
      <c r="F130" s="141"/>
      <c r="G130" s="142" t="s">
        <v>66</v>
      </c>
      <c r="H130" s="142"/>
      <c r="I130" s="83">
        <v>311458</v>
      </c>
      <c r="J130" s="84">
        <v>0.83</v>
      </c>
      <c r="K130" s="27">
        <f>J130-((J130/100)*M2)</f>
        <v>0.83</v>
      </c>
      <c r="L130" s="84">
        <f t="shared" si="0"/>
        <v>25.004580000000001</v>
      </c>
    </row>
    <row r="131" spans="2:12" ht="12.75" hidden="1" customHeight="1">
      <c r="B131" s="141" t="s">
        <v>67</v>
      </c>
      <c r="C131" s="141"/>
      <c r="D131" s="141"/>
      <c r="E131" s="141"/>
      <c r="F131" s="141"/>
      <c r="G131" s="142" t="s">
        <v>68</v>
      </c>
      <c r="H131" s="142"/>
      <c r="I131" s="83">
        <v>318210</v>
      </c>
      <c r="J131" s="84">
        <v>3.25</v>
      </c>
      <c r="K131" s="27">
        <f>J131-((J131/100)*M2)</f>
        <v>3.25</v>
      </c>
      <c r="L131" s="84">
        <f t="shared" si="0"/>
        <v>97.909500000000008</v>
      </c>
    </row>
    <row r="132" spans="2:12" ht="12.75" hidden="1" customHeight="1">
      <c r="B132" s="141" t="s">
        <v>69</v>
      </c>
      <c r="C132" s="141"/>
      <c r="D132" s="141"/>
      <c r="E132" s="141"/>
      <c r="F132" s="141"/>
      <c r="G132" s="142" t="s">
        <v>70</v>
      </c>
      <c r="H132" s="142"/>
      <c r="I132" s="83">
        <v>311280</v>
      </c>
      <c r="J132" s="84">
        <v>1.7</v>
      </c>
      <c r="K132" s="27">
        <f>J132-((J132/100)*M2)</f>
        <v>1.7</v>
      </c>
      <c r="L132" s="84">
        <f t="shared" si="0"/>
        <v>51.214199999999998</v>
      </c>
    </row>
    <row r="133" spans="2:12" ht="12.75" hidden="1" customHeight="1">
      <c r="B133" s="143" t="s">
        <v>71</v>
      </c>
      <c r="C133" s="143"/>
      <c r="D133" s="143"/>
      <c r="E133" s="143"/>
      <c r="F133" s="143"/>
      <c r="G133" s="142" t="s">
        <v>72</v>
      </c>
      <c r="H133" s="142"/>
      <c r="I133" s="83">
        <v>318226</v>
      </c>
      <c r="J133" s="84">
        <v>3</v>
      </c>
      <c r="K133" s="27">
        <f>J133-((J133/100)*M2)</f>
        <v>3</v>
      </c>
      <c r="L133" s="84">
        <f t="shared" si="0"/>
        <v>90.378</v>
      </c>
    </row>
    <row r="134" spans="2:12" ht="12.75" hidden="1" customHeight="1">
      <c r="B134" s="143" t="s">
        <v>73</v>
      </c>
      <c r="C134" s="143"/>
      <c r="D134" s="143"/>
      <c r="E134" s="143"/>
      <c r="F134" s="143"/>
      <c r="G134" s="142" t="s">
        <v>72</v>
      </c>
      <c r="H134" s="142"/>
      <c r="I134" s="83">
        <v>318227</v>
      </c>
      <c r="J134" s="84">
        <v>3</v>
      </c>
      <c r="K134" s="27">
        <f>J134-((J134/100)*M2)</f>
        <v>3</v>
      </c>
      <c r="L134" s="84">
        <f t="shared" si="0"/>
        <v>90.378</v>
      </c>
    </row>
    <row r="135" spans="2:12" ht="12.75" hidden="1" customHeight="1">
      <c r="B135" s="141" t="s">
        <v>74</v>
      </c>
      <c r="C135" s="141"/>
      <c r="D135" s="141"/>
      <c r="E135" s="141"/>
      <c r="F135" s="141"/>
      <c r="G135" s="142" t="s">
        <v>75</v>
      </c>
      <c r="H135" s="142"/>
      <c r="I135" s="83">
        <v>318220</v>
      </c>
      <c r="J135" s="84">
        <v>3.41</v>
      </c>
      <c r="K135" s="27">
        <f>J135-((J135/100)*M2)</f>
        <v>3.41</v>
      </c>
      <c r="L135" s="84">
        <f t="shared" si="0"/>
        <v>102.72966000000001</v>
      </c>
    </row>
    <row r="136" spans="2:12" ht="12.75" hidden="1" customHeight="1">
      <c r="B136" s="141" t="s">
        <v>76</v>
      </c>
      <c r="C136" s="141"/>
      <c r="D136" s="141"/>
      <c r="E136" s="141"/>
      <c r="F136" s="141"/>
      <c r="G136" s="142" t="s">
        <v>77</v>
      </c>
      <c r="H136" s="142"/>
      <c r="I136" s="83">
        <v>318225</v>
      </c>
      <c r="J136" s="84">
        <v>3</v>
      </c>
      <c r="K136" s="27">
        <f>J136-((J136/100)*M2)</f>
        <v>3</v>
      </c>
      <c r="L136" s="84">
        <f t="shared" si="0"/>
        <v>90.378</v>
      </c>
    </row>
    <row r="137" spans="2:12" ht="12.75" hidden="1" customHeight="1">
      <c r="B137" s="141" t="s">
        <v>78</v>
      </c>
      <c r="C137" s="141"/>
      <c r="D137" s="141"/>
      <c r="E137" s="141"/>
      <c r="F137" s="141"/>
      <c r="G137" s="142" t="s">
        <v>79</v>
      </c>
      <c r="H137" s="142"/>
      <c r="I137" s="83">
        <v>385772</v>
      </c>
      <c r="J137" s="84">
        <v>3.08</v>
      </c>
      <c r="K137" s="27">
        <f>J137-((J137/100)*M2)</f>
        <v>3.08</v>
      </c>
      <c r="L137" s="84">
        <f t="shared" si="0"/>
        <v>92.788080000000008</v>
      </c>
    </row>
    <row r="138" spans="2:12" ht="12.75" hidden="1" customHeight="1"/>
    <row r="139" spans="2:12" ht="12.75" customHeight="1"/>
    <row r="140" spans="2:12" ht="15" customHeight="1"/>
    <row r="141" spans="2:12" ht="15" customHeight="1"/>
  </sheetData>
  <sheetProtection selectLockedCells="1" selectUnlockedCells="1"/>
  <mergeCells count="79">
    <mergeCell ref="B135:F135"/>
    <mergeCell ref="G135:H135"/>
    <mergeCell ref="B136:F136"/>
    <mergeCell ref="G136:H136"/>
    <mergeCell ref="B137:F137"/>
    <mergeCell ref="G137:H137"/>
    <mergeCell ref="B132:F132"/>
    <mergeCell ref="G132:H132"/>
    <mergeCell ref="B133:F133"/>
    <mergeCell ref="G133:H133"/>
    <mergeCell ref="B134:F134"/>
    <mergeCell ref="G134:H134"/>
    <mergeCell ref="B129:F129"/>
    <mergeCell ref="G129:H129"/>
    <mergeCell ref="B130:F130"/>
    <mergeCell ref="G130:H130"/>
    <mergeCell ref="B131:F131"/>
    <mergeCell ref="G131:H131"/>
    <mergeCell ref="B126:F126"/>
    <mergeCell ref="G126:H126"/>
    <mergeCell ref="B127:F127"/>
    <mergeCell ref="G127:H127"/>
    <mergeCell ref="B128:F128"/>
    <mergeCell ref="G128:H128"/>
    <mergeCell ref="B121:F121"/>
    <mergeCell ref="B123:F123"/>
    <mergeCell ref="G123:H123"/>
    <mergeCell ref="B124:F124"/>
    <mergeCell ref="G124:H124"/>
    <mergeCell ref="B125:F125"/>
    <mergeCell ref="G125:H125"/>
    <mergeCell ref="B115:F115"/>
    <mergeCell ref="B116:F116"/>
    <mergeCell ref="B117:F117"/>
    <mergeCell ref="B118:F118"/>
    <mergeCell ref="B119:F119"/>
    <mergeCell ref="B120:F120"/>
    <mergeCell ref="B109:F109"/>
    <mergeCell ref="B110:F110"/>
    <mergeCell ref="B111:F111"/>
    <mergeCell ref="B112:F112"/>
    <mergeCell ref="B113:F113"/>
    <mergeCell ref="B114:F114"/>
    <mergeCell ref="B36:E36"/>
    <mergeCell ref="B37:E37"/>
    <mergeCell ref="H99:I99"/>
    <mergeCell ref="B101:B102"/>
    <mergeCell ref="B104:B105"/>
    <mergeCell ref="B108:F108"/>
    <mergeCell ref="B32:F32"/>
    <mergeCell ref="G32:H32"/>
    <mergeCell ref="B34:E34"/>
    <mergeCell ref="H34:I34"/>
    <mergeCell ref="B35:E35"/>
    <mergeCell ref="H35:I35"/>
    <mergeCell ref="B29:F29"/>
    <mergeCell ref="G29:H29"/>
    <mergeCell ref="B30:F30"/>
    <mergeCell ref="G30:H30"/>
    <mergeCell ref="B31:F31"/>
    <mergeCell ref="G31:H31"/>
    <mergeCell ref="B26:F26"/>
    <mergeCell ref="G26:H26"/>
    <mergeCell ref="B27:F27"/>
    <mergeCell ref="G27:H27"/>
    <mergeCell ref="B28:F28"/>
    <mergeCell ref="G28:H28"/>
    <mergeCell ref="B23:F23"/>
    <mergeCell ref="G23:H23"/>
    <mergeCell ref="B24:F24"/>
    <mergeCell ref="G24:H24"/>
    <mergeCell ref="B25:F25"/>
    <mergeCell ref="G25:H25"/>
    <mergeCell ref="M2:M3"/>
    <mergeCell ref="B14:C14"/>
    <mergeCell ref="B16:C16"/>
    <mergeCell ref="B17:C17"/>
    <mergeCell ref="B22:F22"/>
    <mergeCell ref="G22:H22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3"/>
  <sheetViews>
    <sheetView showGridLines="0" showRowColHeaders="0" zoomScaleNormal="100" zoomScaleSheetLayoutView="100" workbookViewId="0">
      <selection activeCell="B1" sqref="B1"/>
    </sheetView>
  </sheetViews>
  <sheetFormatPr defaultRowHeight="14.25"/>
  <cols>
    <col min="1" max="1" width="4.28515625" style="1" customWidth="1"/>
    <col min="2" max="2" width="14.42578125" style="1" customWidth="1"/>
    <col min="3" max="3" width="19.140625" style="1" customWidth="1"/>
    <col min="4" max="4" width="9.28515625" style="1" customWidth="1"/>
    <col min="5" max="5" width="4.28515625" style="1" customWidth="1"/>
    <col min="6" max="6" width="1.28515625" style="1" customWidth="1"/>
    <col min="7" max="8" width="5.85546875" style="1" customWidth="1"/>
    <col min="9" max="9" width="8.140625" style="1" customWidth="1"/>
    <col min="10" max="10" width="6" style="1" customWidth="1"/>
    <col min="11" max="11" width="8.5703125" style="1" customWidth="1"/>
    <col min="12" max="12" width="13.42578125" style="1" customWidth="1"/>
    <col min="13" max="14" width="11.140625" style="1" customWidth="1"/>
    <col min="15" max="16384" width="9.140625" style="1"/>
  </cols>
  <sheetData>
    <row r="1" spans="2:13">
      <c r="J1" s="85"/>
      <c r="K1" s="2"/>
      <c r="L1" s="3"/>
      <c r="M1" s="157"/>
    </row>
    <row r="2" spans="2:13">
      <c r="J2" s="85"/>
      <c r="K2" s="2"/>
      <c r="L2" s="4"/>
      <c r="M2" s="158"/>
    </row>
    <row r="3" spans="2:13">
      <c r="M3" s="158"/>
    </row>
    <row r="4" spans="2:13">
      <c r="B4" s="5">
        <v>2</v>
      </c>
      <c r="C4" s="6"/>
      <c r="D4" s="6"/>
      <c r="E4" s="6"/>
      <c r="F4" s="6"/>
      <c r="G4" s="6"/>
      <c r="H4" s="6"/>
      <c r="I4" s="7"/>
      <c r="J4" s="6"/>
      <c r="K4" s="6"/>
    </row>
    <row r="5" spans="2:13">
      <c r="B5" s="8" t="s">
        <v>0</v>
      </c>
      <c r="H5" s="9"/>
      <c r="I5" s="7"/>
    </row>
    <row r="6" spans="2:13">
      <c r="B6" s="10"/>
      <c r="H6" s="9"/>
      <c r="I6" s="7"/>
    </row>
    <row r="7" spans="2:13" ht="15" customHeight="1">
      <c r="B7" s="11" t="s">
        <v>1</v>
      </c>
      <c r="C7" s="86" t="s">
        <v>2</v>
      </c>
      <c r="D7" s="13">
        <v>490</v>
      </c>
      <c r="E7" s="30"/>
      <c r="F7" s="23"/>
      <c r="G7" s="23"/>
      <c r="H7" s="23"/>
      <c r="I7" s="7"/>
      <c r="L7" s="14"/>
      <c r="M7" s="14"/>
    </row>
    <row r="8" spans="2:13" ht="4.5" customHeight="1">
      <c r="B8" s="11"/>
      <c r="C8" s="86"/>
      <c r="D8" s="37"/>
      <c r="E8" s="30"/>
      <c r="F8" s="23"/>
      <c r="G8" s="23"/>
      <c r="H8" s="23"/>
      <c r="I8" s="7"/>
      <c r="L8" s="14"/>
      <c r="M8" s="14"/>
    </row>
    <row r="9" spans="2:13" ht="15" customHeight="1">
      <c r="B9" s="11" t="s">
        <v>3</v>
      </c>
      <c r="C9" s="86" t="s">
        <v>4</v>
      </c>
      <c r="D9" s="13">
        <v>900</v>
      </c>
      <c r="E9" s="30"/>
      <c r="F9" s="23"/>
      <c r="G9" s="23"/>
      <c r="H9" s="23"/>
      <c r="I9" s="7"/>
      <c r="L9" s="14"/>
      <c r="M9" s="14"/>
    </row>
    <row r="10" spans="2:13" ht="4.5" customHeight="1">
      <c r="B10" s="11"/>
      <c r="C10" s="86"/>
      <c r="D10" s="37"/>
      <c r="E10" s="30"/>
      <c r="F10" s="23"/>
      <c r="G10" s="23"/>
      <c r="H10" s="23"/>
      <c r="I10" s="7"/>
      <c r="L10" s="14"/>
      <c r="M10" s="14"/>
    </row>
    <row r="11" spans="2:13" ht="15" customHeight="1">
      <c r="B11" s="11" t="s">
        <v>5</v>
      </c>
      <c r="C11" s="86" t="s">
        <v>6</v>
      </c>
      <c r="D11" s="13">
        <v>18</v>
      </c>
      <c r="E11" s="23"/>
      <c r="F11" s="23"/>
      <c r="G11" s="23"/>
      <c r="H11" s="23"/>
      <c r="I11" s="7"/>
    </row>
    <row r="12" spans="2:13" ht="4.5" customHeight="1">
      <c r="B12" s="11"/>
      <c r="C12" s="86"/>
      <c r="D12" s="37"/>
      <c r="E12" s="23"/>
      <c r="F12" s="23"/>
      <c r="G12" s="23"/>
      <c r="H12" s="23"/>
      <c r="I12" s="7"/>
    </row>
    <row r="13" spans="2:13" ht="15" customHeight="1">
      <c r="B13" s="124" t="s">
        <v>80</v>
      </c>
      <c r="C13" s="124"/>
      <c r="D13" s="13">
        <v>5</v>
      </c>
      <c r="E13" s="6"/>
      <c r="F13" s="6"/>
      <c r="G13" s="6"/>
      <c r="H13" s="6"/>
      <c r="I13" s="7"/>
      <c r="J13" s="6"/>
      <c r="K13" s="6"/>
    </row>
    <row r="14" spans="2:13" ht="16.5" customHeight="1">
      <c r="E14" s="6"/>
      <c r="F14" s="6"/>
      <c r="G14" s="6"/>
      <c r="H14" s="6"/>
      <c r="I14" s="7"/>
      <c r="J14" s="6"/>
      <c r="K14" s="6"/>
    </row>
    <row r="15" spans="2:13" ht="15" customHeight="1">
      <c r="B15" s="125" t="s">
        <v>81</v>
      </c>
      <c r="C15" s="125"/>
      <c r="D15" s="27">
        <f>IF(B4=1,D89,IF(B4=2,D90,IF(B4=3,D91,D92)))</f>
        <v>6.0378800000000004</v>
      </c>
      <c r="E15" s="6"/>
      <c r="J15" s="7"/>
      <c r="K15" s="6"/>
    </row>
    <row r="16" spans="2:13" ht="15" customHeight="1">
      <c r="B16" s="126" t="s">
        <v>9</v>
      </c>
      <c r="C16" s="126"/>
      <c r="D16" s="29">
        <f>IF(B4=1,E89,IF(B4=2,E90,IF(B4=3,E91,E92)))</f>
        <v>2958.5612000000001</v>
      </c>
      <c r="E16" s="6"/>
      <c r="J16" s="6"/>
      <c r="K16" s="6"/>
    </row>
    <row r="17" spans="2:12">
      <c r="E17" s="6"/>
      <c r="F17" s="6"/>
      <c r="G17" s="6"/>
      <c r="H17" s="6"/>
      <c r="I17" s="87"/>
      <c r="J17" s="6"/>
      <c r="K17" s="6"/>
    </row>
    <row r="18" spans="2:12">
      <c r="B18" s="31" t="str">
        <f>IF(OR(D9&lt;450,D9&gt;1800),"Pozor šírka čela je od 450 - 1800 mm ! !","")</f>
        <v/>
      </c>
      <c r="C18" s="6"/>
      <c r="D18" s="6"/>
      <c r="E18" s="6"/>
      <c r="F18" s="6"/>
      <c r="G18" s="6"/>
      <c r="H18" s="6"/>
      <c r="I18" s="7"/>
      <c r="J18" s="6"/>
      <c r="K18" s="6"/>
    </row>
    <row r="19" spans="2:12" ht="13.5" customHeight="1"/>
    <row r="20" spans="2:12" s="35" customFormat="1" ht="29.25" customHeight="1">
      <c r="B20" s="127" t="s">
        <v>10</v>
      </c>
      <c r="C20" s="127"/>
      <c r="D20" s="127"/>
      <c r="E20" s="127"/>
      <c r="F20" s="127"/>
      <c r="G20" s="128" t="s">
        <v>11</v>
      </c>
      <c r="H20" s="128"/>
      <c r="I20" s="33" t="s">
        <v>12</v>
      </c>
      <c r="J20" s="33" t="s">
        <v>13</v>
      </c>
      <c r="K20" s="34"/>
      <c r="L20" s="34"/>
    </row>
    <row r="21" spans="2:12" ht="20.25" customHeight="1">
      <c r="B21" s="144" t="str">
        <f>IF(OR(D7&lt;240,D7&gt;600),"Max. výška čela je od 250 - 600mm ! ! !",IF(D16&lt;1125,B95,IF(AND(D16&gt;=1125,D16&lt;2000),B96,IF(AND(D16&gt;=2000,D16&lt;4050),B97,IF(D16&gt;=4050,B98,"")))))</f>
        <v>sada zdvíh. mechanizmov, ukazovateľ výkonnosti: 1500-4900</v>
      </c>
      <c r="C21" s="144"/>
      <c r="D21" s="144"/>
      <c r="E21" s="144"/>
      <c r="F21" s="144"/>
      <c r="G21" s="132" t="str">
        <f>IF(OR(D7&lt;240,D7&gt;600),"",IF(D16&lt;1125,G95,IF(AND(D16&gt;=1125,D16&lt;2000),G96,IF(AND(D16&gt;=2000,D16&lt;4050),G97,IF(D16&gt;=4050,G98,"")))))</f>
        <v>20K2700</v>
      </c>
      <c r="H21" s="132"/>
      <c r="I21" s="39">
        <f>IF(OR(D7&lt;240,D7&gt;600),"",IF(D16&lt;1125,I95,IF(AND(D16&gt;=1125,D16&lt;2000),I96,IF(AND(D16&gt;=2000,D16&lt;4050),I97,IF(D16&gt;=4050,I98,"")))))</f>
        <v>318332</v>
      </c>
      <c r="J21" s="39">
        <f>IF(OR(D7&lt;240,D7&gt;600),"",IF(D16&lt;1125,J95,IF(AND(D16&gt;=1125,D16&lt;2000),J96,IF(AND(D16&gt;=2000,D16&lt;4050),J97,IF(D16&gt;=4050,J98,"")))))</f>
        <v>1</v>
      </c>
      <c r="K21" s="27"/>
      <c r="L21" s="27"/>
    </row>
    <row r="22" spans="2:12" ht="20.25" customHeight="1">
      <c r="B22" s="131" t="str">
        <f>IF(OR(D7&lt;240,D7&gt;600),"",IF(B4&lt;4,B99,IF(B4&gt;3,B100,"")))</f>
        <v>predný uchyt na drevené alebo široké hliníkové dvierka</v>
      </c>
      <c r="C22" s="131"/>
      <c r="D22" s="131"/>
      <c r="E22" s="131"/>
      <c r="F22" s="131"/>
      <c r="G22" s="132" t="str">
        <f>IF(OR(D7&lt;240,D7&gt;600),"",IF(B4&lt;4,G99,IF(B4&gt;3,G100,"")))</f>
        <v>20S4200</v>
      </c>
      <c r="H22" s="132"/>
      <c r="I22" s="39">
        <f>IF(OR(D7&lt;240,D7&gt;600),"",IF(B4&lt;4,I99,IF(B4&gt;3,I100,"")))</f>
        <v>318310</v>
      </c>
      <c r="J22" s="39">
        <f>IF(OR(D7&lt;240,D7&gt;600),"",IF(B4&lt;4,J99,IF(B4&gt;3,J100,"")))</f>
        <v>1</v>
      </c>
      <c r="K22" s="27"/>
      <c r="L22" s="27"/>
    </row>
    <row r="23" spans="2:12" ht="20.2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2" ht="20.25" hidden="1" customHeight="1">
      <c r="G24" s="6"/>
      <c r="H24" s="134" t="s">
        <v>14</v>
      </c>
      <c r="I24" s="134"/>
      <c r="J24" s="40" t="s">
        <v>15</v>
      </c>
      <c r="K24" s="41">
        <f>SUM(K21:K22)</f>
        <v>0</v>
      </c>
      <c r="L24" s="89"/>
    </row>
    <row r="25" spans="2:12" ht="15" hidden="1" customHeight="1">
      <c r="G25" s="6"/>
      <c r="H25" s="135" t="s">
        <v>16</v>
      </c>
      <c r="I25" s="135"/>
      <c r="J25" s="40" t="s">
        <v>17</v>
      </c>
      <c r="K25" s="41">
        <f>SUM(L21:L22)</f>
        <v>0</v>
      </c>
      <c r="L25" s="89"/>
    </row>
    <row r="26" spans="2:12" ht="15" customHeight="1"/>
    <row r="29" spans="2:12">
      <c r="G29" s="16"/>
      <c r="H29" s="16"/>
      <c r="I29" s="16"/>
      <c r="J29" s="90"/>
      <c r="K29" s="90"/>
    </row>
    <row r="77" spans="2:11" ht="15" customHeight="1"/>
    <row r="78" spans="2:11" ht="12.75" customHeight="1"/>
    <row r="79" spans="2:11" ht="12.75" hidden="1" customHeight="1"/>
    <row r="80" spans="2:11" ht="12.75" hidden="1" customHeight="1">
      <c r="B80" s="50"/>
      <c r="C80" s="51" t="s">
        <v>18</v>
      </c>
      <c r="D80" s="51" t="s">
        <v>19</v>
      </c>
      <c r="E80" s="52" t="s">
        <v>20</v>
      </c>
      <c r="F80" s="51" t="s">
        <v>21</v>
      </c>
      <c r="G80" s="51" t="s">
        <v>13</v>
      </c>
      <c r="H80" s="136" t="s">
        <v>22</v>
      </c>
      <c r="I80" s="136"/>
      <c r="J80" s="53" t="s">
        <v>23</v>
      </c>
      <c r="K80" s="54" t="s">
        <v>24</v>
      </c>
    </row>
    <row r="81" spans="2:13" ht="12.75" hidden="1" customHeight="1">
      <c r="B81" s="56"/>
      <c r="C81" s="57" t="s">
        <v>25</v>
      </c>
      <c r="D81" s="57" t="s">
        <v>26</v>
      </c>
      <c r="E81" s="58" t="s">
        <v>26</v>
      </c>
      <c r="F81" s="57" t="s">
        <v>26</v>
      </c>
      <c r="G81" s="57" t="s">
        <v>27</v>
      </c>
      <c r="H81" s="59" t="s">
        <v>28</v>
      </c>
      <c r="I81" s="60" t="s">
        <v>29</v>
      </c>
      <c r="J81" s="61" t="s">
        <v>30</v>
      </c>
      <c r="K81" s="62"/>
    </row>
    <row r="82" spans="2:13" ht="12.75" hidden="1" customHeight="1">
      <c r="B82" s="137" t="s">
        <v>31</v>
      </c>
      <c r="C82" s="39">
        <v>7.25</v>
      </c>
      <c r="D82" s="37">
        <f>D9</f>
        <v>900</v>
      </c>
      <c r="E82" s="36">
        <f>D7</f>
        <v>490</v>
      </c>
      <c r="F82" s="37">
        <v>19</v>
      </c>
      <c r="G82" s="37">
        <v>1</v>
      </c>
      <c r="H82" s="37">
        <f>(D82*2+E82*2)*G82</f>
        <v>2780</v>
      </c>
      <c r="I82" s="63">
        <f>H82/10</f>
        <v>278</v>
      </c>
      <c r="J82" s="64">
        <f>I82*$C$82/1000</f>
        <v>2.0154999999999998</v>
      </c>
      <c r="K82" s="37" t="s">
        <v>32</v>
      </c>
    </row>
    <row r="83" spans="2:13" ht="12.75" hidden="1" customHeight="1">
      <c r="B83" s="137"/>
      <c r="C83" s="38">
        <f>200/57</f>
        <v>3.5087719298245612</v>
      </c>
      <c r="D83" s="37">
        <f>D9</f>
        <v>900</v>
      </c>
      <c r="E83" s="36">
        <f>D7</f>
        <v>490</v>
      </c>
      <c r="F83" s="37">
        <v>19</v>
      </c>
      <c r="G83" s="37">
        <v>1</v>
      </c>
      <c r="H83" s="37">
        <f>(D83*2+E83*2)*G83</f>
        <v>2780</v>
      </c>
      <c r="I83" s="63">
        <f>H83/10</f>
        <v>278</v>
      </c>
      <c r="J83" s="64">
        <f>I83*$C$83/1000</f>
        <v>0.9754385964912281</v>
      </c>
      <c r="K83" s="37" t="s">
        <v>33</v>
      </c>
    </row>
    <row r="84" spans="2:13" ht="12.75" hidden="1" customHeight="1">
      <c r="B84" s="37" t="s">
        <v>34</v>
      </c>
      <c r="C84" s="65">
        <v>2200</v>
      </c>
      <c r="D84" s="37">
        <f>D9</f>
        <v>900</v>
      </c>
      <c r="E84" s="36">
        <f>D7</f>
        <v>490</v>
      </c>
      <c r="F84" s="37">
        <v>4</v>
      </c>
      <c r="G84" s="37">
        <v>1</v>
      </c>
      <c r="H84" s="63">
        <f>D84*E84*F84*G84</f>
        <v>1764000</v>
      </c>
      <c r="I84" s="66">
        <f>H84/1000000000</f>
        <v>1.7639999999999999E-3</v>
      </c>
      <c r="J84" s="67">
        <f>I84*C84</f>
        <v>3.8807999999999998</v>
      </c>
      <c r="K84" s="68"/>
    </row>
    <row r="85" spans="2:13" ht="12.75" hidden="1" customHeight="1">
      <c r="B85" s="137" t="s">
        <v>35</v>
      </c>
      <c r="C85" s="64">
        <f>SUM(J82,J84)</f>
        <v>5.8963000000000001</v>
      </c>
      <c r="D85" s="37" t="s">
        <v>32</v>
      </c>
      <c r="E85" s="69"/>
      <c r="F85" s="70"/>
      <c r="G85" s="70"/>
      <c r="H85" s="69"/>
      <c r="I85" s="69"/>
      <c r="J85" s="71"/>
      <c r="K85" s="72"/>
    </row>
    <row r="86" spans="2:13" ht="12.75" hidden="1" customHeight="1">
      <c r="B86" s="137"/>
      <c r="C86" s="64">
        <f>SUM(J83,J84)</f>
        <v>4.8562385964912282</v>
      </c>
      <c r="D86" s="37" t="s">
        <v>33</v>
      </c>
      <c r="E86" s="73"/>
      <c r="F86" s="74"/>
      <c r="G86" s="74"/>
      <c r="H86" s="73"/>
      <c r="I86" s="73"/>
      <c r="J86" s="75"/>
      <c r="K86" s="76"/>
    </row>
    <row r="87" spans="2:13" ht="12.75" hidden="1" customHeight="1"/>
    <row r="88" spans="2:13" ht="12.75" hidden="1" customHeight="1">
      <c r="B88" s="142" t="s">
        <v>36</v>
      </c>
      <c r="C88" s="142"/>
      <c r="D88" s="142"/>
      <c r="E88" s="142"/>
    </row>
    <row r="89" spans="2:13" ht="12.75" hidden="1" customHeight="1">
      <c r="B89" s="131" t="s">
        <v>82</v>
      </c>
      <c r="C89" s="131"/>
      <c r="D89" s="27">
        <f>(D7*D11*D9)/1000000000*680+(D13/1000)</f>
        <v>5.4028400000000003</v>
      </c>
      <c r="E89" s="27">
        <f>D7*D89</f>
        <v>2647.3915999999999</v>
      </c>
      <c r="F89" s="9"/>
    </row>
    <row r="90" spans="2:13" ht="12.75" hidden="1" customHeight="1">
      <c r="B90" s="131" t="s">
        <v>83</v>
      </c>
      <c r="C90" s="131"/>
      <c r="D90" s="27">
        <f>(D7*D11*D9)/1000000000*760+(D13/1000)</f>
        <v>6.0378800000000004</v>
      </c>
      <c r="E90" s="27">
        <f>D7*D90</f>
        <v>2958.5612000000001</v>
      </c>
      <c r="F90" s="9"/>
    </row>
    <row r="91" spans="2:13" ht="12.75" hidden="1" customHeight="1">
      <c r="B91" s="131" t="s">
        <v>84</v>
      </c>
      <c r="C91" s="131"/>
      <c r="D91" s="27">
        <f>C85+(D13/1000)</f>
        <v>5.9013</v>
      </c>
      <c r="E91" s="27">
        <f>D7*D91</f>
        <v>2891.6370000000002</v>
      </c>
      <c r="F91" s="9"/>
    </row>
    <row r="92" spans="2:13" ht="12.75" hidden="1" customHeight="1">
      <c r="B92" s="131" t="s">
        <v>85</v>
      </c>
      <c r="C92" s="131"/>
      <c r="D92" s="27">
        <f>C86+(D13/1000)</f>
        <v>4.8612385964912281</v>
      </c>
      <c r="E92" s="27">
        <f>D7*D92</f>
        <v>2382.0069122807017</v>
      </c>
      <c r="F92" s="9"/>
    </row>
    <row r="93" spans="2:13" ht="12.75" hidden="1" customHeight="1"/>
    <row r="94" spans="2:13" ht="12.75" hidden="1" customHeight="1"/>
    <row r="95" spans="2:13" ht="12.75" hidden="1" customHeight="1">
      <c r="B95" s="141" t="s">
        <v>86</v>
      </c>
      <c r="C95" s="141"/>
      <c r="D95" s="141"/>
      <c r="E95" s="141"/>
      <c r="F95" s="141"/>
      <c r="G95" s="142" t="s">
        <v>87</v>
      </c>
      <c r="H95" s="142"/>
      <c r="I95" s="83">
        <v>318330</v>
      </c>
      <c r="J95" s="83">
        <f>IF(D16&lt;1125,1,0)</f>
        <v>0</v>
      </c>
      <c r="K95" s="27">
        <v>48.07</v>
      </c>
      <c r="L95" s="27">
        <f>SUM((K95*J95)-((K95*J95)/100)*M2)</f>
        <v>0</v>
      </c>
      <c r="M95" s="27">
        <f t="shared" ref="M95:M100" si="0">L95*30.126</f>
        <v>0</v>
      </c>
    </row>
    <row r="96" spans="2:13" ht="12.75" hidden="1" customHeight="1">
      <c r="B96" s="141" t="s">
        <v>88</v>
      </c>
      <c r="C96" s="141"/>
      <c r="D96" s="141"/>
      <c r="E96" s="141"/>
      <c r="F96" s="141"/>
      <c r="G96" s="142" t="s">
        <v>89</v>
      </c>
      <c r="H96" s="142"/>
      <c r="I96" s="83">
        <v>318331</v>
      </c>
      <c r="J96" s="83">
        <f>IF(AND(D16&gt;=1125,D16&lt;2000),1,0)</f>
        <v>0</v>
      </c>
      <c r="K96" s="27">
        <v>48.07</v>
      </c>
      <c r="L96" s="27">
        <f>SUM((K96*J96)-((K96*J96)/100)*M2)</f>
        <v>0</v>
      </c>
      <c r="M96" s="27">
        <f t="shared" si="0"/>
        <v>0</v>
      </c>
    </row>
    <row r="97" spans="2:13" ht="12.75" hidden="1" customHeight="1">
      <c r="B97" s="141" t="s">
        <v>90</v>
      </c>
      <c r="C97" s="141"/>
      <c r="D97" s="141"/>
      <c r="E97" s="141"/>
      <c r="F97" s="141"/>
      <c r="G97" s="142" t="s">
        <v>91</v>
      </c>
      <c r="H97" s="142"/>
      <c r="I97" s="83">
        <v>318332</v>
      </c>
      <c r="J97" s="83">
        <f>IF(AND(D16&gt;=2000,D16&lt;4050),1,0)</f>
        <v>1</v>
      </c>
      <c r="K97" s="27">
        <v>50.29</v>
      </c>
      <c r="L97" s="27">
        <f>SUM((K97*J97)-((K97*J97)/100)*M2)</f>
        <v>50.29</v>
      </c>
      <c r="M97" s="27">
        <f t="shared" si="0"/>
        <v>1515.0365400000001</v>
      </c>
    </row>
    <row r="98" spans="2:13" ht="12.75" hidden="1" customHeight="1">
      <c r="B98" s="141" t="s">
        <v>92</v>
      </c>
      <c r="C98" s="141"/>
      <c r="D98" s="141"/>
      <c r="E98" s="141"/>
      <c r="F98" s="141"/>
      <c r="G98" s="142" t="s">
        <v>93</v>
      </c>
      <c r="H98" s="142"/>
      <c r="I98" s="83">
        <v>318333</v>
      </c>
      <c r="J98" s="83">
        <f>IF(D16&gt;=4050,1,0)</f>
        <v>0</v>
      </c>
      <c r="K98" s="27">
        <v>74.84</v>
      </c>
      <c r="L98" s="27">
        <f>SUM((K98*J98)-((K98*J98)/100)*M2)</f>
        <v>0</v>
      </c>
      <c r="M98" s="27">
        <f t="shared" si="0"/>
        <v>0</v>
      </c>
    </row>
    <row r="99" spans="2:13" ht="12.75" hidden="1" customHeight="1">
      <c r="B99" s="141" t="s">
        <v>94</v>
      </c>
      <c r="C99" s="141"/>
      <c r="D99" s="141"/>
      <c r="E99" s="141"/>
      <c r="F99" s="141"/>
      <c r="G99" s="142" t="s">
        <v>95</v>
      </c>
      <c r="H99" s="142"/>
      <c r="I99" s="83">
        <v>318310</v>
      </c>
      <c r="J99" s="83">
        <f>IF(B4&lt;4,1,0)</f>
        <v>1</v>
      </c>
      <c r="K99" s="27">
        <v>3.15</v>
      </c>
      <c r="L99" s="27">
        <f>SUM((K99*J99)-((K99*J99)/100)*M2)</f>
        <v>3.15</v>
      </c>
      <c r="M99" s="27">
        <f t="shared" si="0"/>
        <v>94.896900000000002</v>
      </c>
    </row>
    <row r="100" spans="2:13" ht="12.75" hidden="1" customHeight="1">
      <c r="B100" s="141" t="s">
        <v>96</v>
      </c>
      <c r="C100" s="141"/>
      <c r="D100" s="141"/>
      <c r="E100" s="141"/>
      <c r="F100" s="141"/>
      <c r="G100" s="142" t="s">
        <v>97</v>
      </c>
      <c r="H100" s="142"/>
      <c r="I100" s="83">
        <v>318311</v>
      </c>
      <c r="J100" s="83">
        <f>IF(B4&gt;3,1,0)</f>
        <v>0</v>
      </c>
      <c r="K100" s="27">
        <v>12.83</v>
      </c>
      <c r="L100" s="27">
        <f>SUM((K100*J100)-((K100*J100)/100)*M2)</f>
        <v>0</v>
      </c>
      <c r="M100" s="27">
        <f t="shared" si="0"/>
        <v>0</v>
      </c>
    </row>
    <row r="101" spans="2:13" ht="12.75" hidden="1" customHeight="1"/>
    <row r="102" spans="2:13" ht="12.75" customHeight="1"/>
    <row r="103" spans="2:13" ht="15" customHeight="1"/>
  </sheetData>
  <sheetProtection selectLockedCells="1" selectUnlockedCells="1"/>
  <mergeCells count="32">
    <mergeCell ref="B100:F100"/>
    <mergeCell ref="G100:H100"/>
    <mergeCell ref="B97:F97"/>
    <mergeCell ref="G97:H97"/>
    <mergeCell ref="B98:F98"/>
    <mergeCell ref="G98:H98"/>
    <mergeCell ref="B99:F99"/>
    <mergeCell ref="G99:H99"/>
    <mergeCell ref="B91:C91"/>
    <mergeCell ref="B92:C92"/>
    <mergeCell ref="B95:F95"/>
    <mergeCell ref="G95:H95"/>
    <mergeCell ref="B96:F96"/>
    <mergeCell ref="G96:H96"/>
    <mergeCell ref="H80:I80"/>
    <mergeCell ref="B82:B83"/>
    <mergeCell ref="B85:B86"/>
    <mergeCell ref="B88:E88"/>
    <mergeCell ref="B89:C89"/>
    <mergeCell ref="B90:C90"/>
    <mergeCell ref="B21:F21"/>
    <mergeCell ref="G21:H21"/>
    <mergeCell ref="B22:F22"/>
    <mergeCell ref="G22:H22"/>
    <mergeCell ref="H24:I24"/>
    <mergeCell ref="H25:I25"/>
    <mergeCell ref="M2:M3"/>
    <mergeCell ref="B13:C13"/>
    <mergeCell ref="B15:C15"/>
    <mergeCell ref="B16:C16"/>
    <mergeCell ref="B20:F20"/>
    <mergeCell ref="G20:H20"/>
  </mergeCells>
  <pageMargins left="0.39374999999999999" right="0.39374999999999999" top="0.39374999999999999" bottom="0.39374999999999999" header="0.51180555555555551" footer="0.51180555555555551"/>
  <pageSetup paperSize="9" scale="99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205"/>
  <sheetViews>
    <sheetView showGridLines="0" showRowColHeaders="0" zoomScaleNormal="100" zoomScaleSheetLayoutView="100" workbookViewId="0">
      <selection activeCell="B1" sqref="B1"/>
    </sheetView>
  </sheetViews>
  <sheetFormatPr defaultRowHeight="14.25"/>
  <cols>
    <col min="1" max="1" width="4.28515625" style="1" customWidth="1"/>
    <col min="2" max="2" width="14.42578125" style="1" customWidth="1"/>
    <col min="3" max="3" width="19.140625" style="1" customWidth="1"/>
    <col min="4" max="4" width="9.28515625" style="1" customWidth="1"/>
    <col min="5" max="5" width="4.28515625" style="1" customWidth="1"/>
    <col min="6" max="7" width="5.85546875" style="1" customWidth="1"/>
    <col min="8" max="8" width="9.140625" style="1"/>
    <col min="9" max="9" width="6" style="1" customWidth="1"/>
    <col min="10" max="10" width="7.7109375" style="1" customWidth="1"/>
    <col min="11" max="11" width="15.28515625" style="1" customWidth="1"/>
    <col min="12" max="14" width="12.42578125" style="1" customWidth="1"/>
    <col min="15" max="15" width="9.140625" style="1"/>
    <col min="16" max="18" width="9.28515625" style="6" customWidth="1"/>
    <col min="19" max="19" width="9.28515625" style="6" hidden="1" customWidth="1"/>
    <col min="20" max="20" width="1.5703125" style="6" hidden="1" customWidth="1"/>
    <col min="21" max="21" width="9.28515625" style="6" hidden="1" customWidth="1"/>
    <col min="22" max="23" width="5.42578125" style="6" hidden="1" customWidth="1"/>
    <col min="24" max="24" width="3.7109375" style="6" hidden="1" customWidth="1"/>
    <col min="25" max="26" width="5.42578125" style="6" hidden="1" customWidth="1"/>
    <col min="27" max="27" width="3.42578125" style="6" hidden="1" customWidth="1"/>
    <col min="28" max="29" width="5.42578125" style="6" hidden="1" customWidth="1"/>
    <col min="30" max="30" width="3.42578125" style="6" hidden="1" customWidth="1"/>
    <col min="31" max="31" width="9.28515625" style="6" hidden="1" customWidth="1"/>
    <col min="32" max="32" width="5.42578125" style="6" customWidth="1"/>
    <col min="33" max="33" width="8.28515625" style="6" customWidth="1"/>
    <col min="34" max="34" width="3.28515625" style="6" customWidth="1"/>
    <col min="35" max="36" width="5.42578125" style="6" customWidth="1"/>
    <col min="37" max="37" width="3.28515625" style="1" customWidth="1"/>
    <col min="38" max="39" width="5.42578125" style="1" customWidth="1"/>
    <col min="40" max="16384" width="9.140625" style="1"/>
  </cols>
  <sheetData>
    <row r="1" spans="2:13">
      <c r="I1" s="85"/>
      <c r="J1" s="2"/>
      <c r="K1" s="3"/>
      <c r="L1" s="157"/>
    </row>
    <row r="2" spans="2:13">
      <c r="I2" s="85"/>
      <c r="J2" s="2"/>
      <c r="K2" s="4"/>
      <c r="L2" s="158"/>
    </row>
    <row r="3" spans="2:13">
      <c r="L3" s="158"/>
    </row>
    <row r="4" spans="2:13">
      <c r="B4" s="5">
        <v>3</v>
      </c>
      <c r="C4" s="6"/>
      <c r="D4" s="6"/>
      <c r="E4" s="6"/>
      <c r="F4" s="6"/>
      <c r="G4" s="6"/>
      <c r="H4" s="6"/>
      <c r="I4" s="7"/>
      <c r="J4" s="6"/>
      <c r="K4" s="6"/>
    </row>
    <row r="5" spans="2:13">
      <c r="B5" s="8" t="s">
        <v>0</v>
      </c>
      <c r="H5" s="9"/>
      <c r="I5" s="7"/>
      <c r="M5" s="14"/>
    </row>
    <row r="6" spans="2:13">
      <c r="B6" s="10"/>
      <c r="H6" s="9"/>
      <c r="I6" s="7"/>
      <c r="M6" s="14"/>
    </row>
    <row r="7" spans="2:13">
      <c r="C7" s="23"/>
      <c r="D7" s="23"/>
      <c r="E7" s="23"/>
      <c r="F7" s="23"/>
      <c r="G7" s="23"/>
      <c r="H7" s="23"/>
      <c r="I7" s="7"/>
      <c r="L7" s="14"/>
      <c r="M7" s="14"/>
    </row>
    <row r="8" spans="2:13" ht="15" customHeight="1">
      <c r="B8" s="11" t="s">
        <v>1</v>
      </c>
      <c r="C8" s="12" t="s">
        <v>2</v>
      </c>
      <c r="D8" s="13">
        <v>595</v>
      </c>
      <c r="E8" s="30"/>
      <c r="F8" s="32"/>
      <c r="G8" s="23"/>
      <c r="H8" s="23"/>
      <c r="I8" s="7"/>
      <c r="L8" s="14"/>
      <c r="M8" s="14"/>
    </row>
    <row r="9" spans="2:13" ht="4.5" customHeight="1">
      <c r="B9" s="11"/>
      <c r="C9" s="12"/>
      <c r="D9" s="37"/>
      <c r="E9" s="30"/>
      <c r="F9" s="32"/>
      <c r="G9" s="23"/>
      <c r="H9" s="23"/>
      <c r="I9" s="7"/>
      <c r="L9" s="14"/>
      <c r="M9" s="14"/>
    </row>
    <row r="10" spans="2:13" ht="15" customHeight="1">
      <c r="B10" s="11" t="s">
        <v>3</v>
      </c>
      <c r="C10" s="12" t="s">
        <v>4</v>
      </c>
      <c r="D10" s="13">
        <v>670</v>
      </c>
      <c r="E10" s="30"/>
      <c r="F10" s="32"/>
      <c r="G10" s="23"/>
      <c r="H10" s="23"/>
      <c r="I10" s="7"/>
      <c r="L10" s="14"/>
      <c r="M10" s="14"/>
    </row>
    <row r="11" spans="2:13" ht="4.5" customHeight="1">
      <c r="B11" s="11"/>
      <c r="C11" s="12"/>
      <c r="D11" s="37"/>
      <c r="E11" s="30"/>
      <c r="F11" s="32"/>
      <c r="G11" s="23"/>
      <c r="H11" s="23"/>
      <c r="I11" s="7"/>
      <c r="L11" s="14"/>
      <c r="M11" s="14"/>
    </row>
    <row r="12" spans="2:13" ht="15" customHeight="1">
      <c r="B12" s="11" t="s">
        <v>5</v>
      </c>
      <c r="C12" s="12" t="s">
        <v>6</v>
      </c>
      <c r="D12" s="13">
        <v>18</v>
      </c>
      <c r="E12" s="23"/>
      <c r="F12" s="23"/>
      <c r="G12" s="23"/>
      <c r="H12" s="23"/>
      <c r="I12" s="7"/>
    </row>
    <row r="13" spans="2:13" ht="4.5" customHeight="1">
      <c r="B13" s="11"/>
      <c r="C13" s="12"/>
      <c r="D13" s="37"/>
      <c r="E13" s="23"/>
      <c r="F13" s="23"/>
      <c r="G13" s="23"/>
      <c r="H13" s="23"/>
      <c r="I13" s="7"/>
    </row>
    <row r="14" spans="2:13" ht="15" customHeight="1">
      <c r="B14" s="124" t="s">
        <v>80</v>
      </c>
      <c r="C14" s="124"/>
      <c r="D14" s="13">
        <v>100</v>
      </c>
      <c r="E14" s="6"/>
      <c r="F14" s="6"/>
      <c r="G14" s="6"/>
      <c r="H14" s="6"/>
      <c r="I14" s="7"/>
      <c r="J14" s="6"/>
      <c r="K14" s="6"/>
    </row>
    <row r="15" spans="2:13" ht="16.5" customHeight="1">
      <c r="E15" s="6"/>
      <c r="F15" s="6"/>
      <c r="G15" s="6"/>
      <c r="H15" s="6"/>
      <c r="I15" s="7"/>
      <c r="J15" s="6"/>
      <c r="K15" s="6"/>
    </row>
    <row r="16" spans="2:13" ht="15" customHeight="1">
      <c r="B16" s="125" t="s">
        <v>81</v>
      </c>
      <c r="C16" s="125"/>
      <c r="D16" s="27">
        <f>IF(B4=1,D97,IF(B4=2,D98,IF(B4=3,D99,D100)))</f>
        <v>5.4423699999999995</v>
      </c>
      <c r="E16" s="6"/>
      <c r="J16" s="7"/>
      <c r="K16" s="6"/>
    </row>
    <row r="17" spans="2:14" ht="15" customHeight="1">
      <c r="B17" s="91" t="s">
        <v>98</v>
      </c>
      <c r="C17" s="92" t="s">
        <v>99</v>
      </c>
      <c r="D17" s="39" t="str">
        <f>IF(AC193=0,CHAR(32),CHAR(AC193+64))</f>
        <v>D</v>
      </c>
      <c r="E17" s="6"/>
      <c r="K17" s="6"/>
    </row>
    <row r="18" spans="2:14">
      <c r="E18" s="6"/>
      <c r="F18" s="6"/>
      <c r="G18" s="6"/>
      <c r="H18" s="6"/>
      <c r="I18" s="87"/>
      <c r="J18" s="6"/>
      <c r="K18" s="6"/>
    </row>
    <row r="19" spans="2:14">
      <c r="B19" s="31" t="str">
        <f>IF(OR(D10&lt;450,D10&gt;1800),"Pozor šírka čela je od 450 - 1800 mm ! !","")</f>
        <v/>
      </c>
      <c r="C19" s="6"/>
      <c r="D19" s="6"/>
      <c r="E19" s="6"/>
      <c r="F19" s="6"/>
      <c r="G19" s="6"/>
      <c r="H19" s="6"/>
      <c r="I19" s="7"/>
      <c r="J19" s="6"/>
      <c r="K19" s="6"/>
    </row>
    <row r="21" spans="2:14" s="35" customFormat="1" ht="32.25" customHeight="1">
      <c r="B21" s="127" t="s">
        <v>10</v>
      </c>
      <c r="C21" s="127"/>
      <c r="D21" s="127"/>
      <c r="E21" s="127"/>
      <c r="F21" s="128" t="s">
        <v>11</v>
      </c>
      <c r="G21" s="128"/>
      <c r="H21" s="33" t="s">
        <v>12</v>
      </c>
      <c r="I21" s="33" t="s">
        <v>13</v>
      </c>
      <c r="J21" s="34"/>
      <c r="K21" s="34"/>
      <c r="L21" s="93"/>
      <c r="M21" s="94"/>
      <c r="N21" s="93"/>
    </row>
    <row r="22" spans="2:14" ht="20.25" customHeight="1">
      <c r="B22" s="144" t="str">
        <f>IF(OR(D8&lt;350,D8&gt;800),"Max. výška čela je od 350 - 800mm ! ! !",IF(AC193=1,B102,IF(AC193=2,B103,IF(AC193=3,B104,IF(AC193=4,B105,IF(AC193=5,B106,IF(AC193=6,B107,B115)))))))</f>
        <v>telo mechanizmu - typ D</v>
      </c>
      <c r="C22" s="144"/>
      <c r="D22" s="144"/>
      <c r="E22" s="144"/>
      <c r="F22" s="132" t="str">
        <f>IF(OR(D8&lt;350,D8&gt;800),"",IF(AC193=1,G102,IF(AC193=2,G103,IF(AC193=3,G104,IF(AC193=4,G105,IF(AC193=5,G106,IF(AC193=6,G107,G115)))))))</f>
        <v>20S1D00</v>
      </c>
      <c r="G22" s="132"/>
      <c r="H22" s="39">
        <f>IF(OR(D8&lt;350,D8&gt;800),"",IF(AC193=1,I102,IF(AC193=2,I103,IF(AC193=3,I104,IF(AC193=4,I105,IF(AC193=5,I106,IF(AC193=6,I107,I115)))))))</f>
        <v>318303</v>
      </c>
      <c r="I22" s="39">
        <f>IF(OR(D8&lt;350,D8&gt;800),"",IF(AC193=1,J102,IF(AC193=2,J103,IF(AC193=3,J104,IF(AC193=4,J105,IF(AC193=5,J106,IF(AC193=6,J107,J115)))))))</f>
        <v>1</v>
      </c>
      <c r="J22" s="27"/>
      <c r="K22" s="27"/>
    </row>
    <row r="23" spans="2:14" ht="20.25" customHeight="1">
      <c r="B23" s="144" t="str">
        <f>IF(OR(D8&lt;350,D8&gt;800),"",IF(AC193=0,"",IF(B4&lt;4,B111,IF(B4&gt;3,B112,""))))</f>
        <v>symetrické čelné kov. pre drev.dvierka, široký hlin. rámik</v>
      </c>
      <c r="C23" s="144"/>
      <c r="D23" s="144"/>
      <c r="E23" s="144"/>
      <c r="F23" s="132" t="str">
        <f>IF(OR(D8&lt;350,D8&gt;800),"",IF(AC193=0,"",IF(B4&lt;4,G111,IF(B4&gt;3,G112,""))))</f>
        <v>20D4200</v>
      </c>
      <c r="G23" s="132"/>
      <c r="H23" s="39">
        <f>IF(OR(D8&lt;350,D8&gt;800),"",IF(AC193=0,"",IF(B4&lt;4,I111,IF(B4&gt;3,I112,""))))</f>
        <v>318310</v>
      </c>
      <c r="I23" s="39">
        <f>IF(OR(D8&lt;350,D8&gt;800),"",IF(AC193=0,"",IF(B4&lt;4,J111,IF(B4&gt;3,J112,""))))</f>
        <v>1</v>
      </c>
      <c r="J23" s="27"/>
      <c r="K23" s="27"/>
    </row>
    <row r="24" spans="2:14" ht="20.25" customHeight="1">
      <c r="B24" s="144" t="str">
        <f>IF(OR(D8&lt;350,D8&gt;800),"",IF(AC193=0,"",B113))</f>
        <v>tyč priečnej stabilizácie, dĺžka 1061mm</v>
      </c>
      <c r="C24" s="144"/>
      <c r="D24" s="144"/>
      <c r="E24" s="144"/>
      <c r="F24" s="132" t="str">
        <f>IF(OR(D8&lt;350,D8&gt;800),"",IF(AC193=0,"",G113))</f>
        <v>20Q1061U</v>
      </c>
      <c r="G24" s="132"/>
      <c r="H24" s="39">
        <f>IF(OR(D8&lt;350,D8&gt;800),"",IF(AC193=0,"",I113))</f>
        <v>318312</v>
      </c>
      <c r="I24" s="39">
        <f>IF(OR(D8&lt;350,D8&gt;800),"",IF(AC193=0,"",J113))</f>
        <v>1</v>
      </c>
      <c r="J24" s="27"/>
      <c r="K24" s="27"/>
    </row>
    <row r="25" spans="2:14" ht="20.25" customHeight="1">
      <c r="B25" s="131" t="str">
        <f>IF(OR(D8&lt;350,D8&gt;800),"",IF(AC193=0,"",IF(J113=2,B114,"")))</f>
        <v/>
      </c>
      <c r="C25" s="131"/>
      <c r="D25" s="131"/>
      <c r="E25" s="131"/>
      <c r="F25" s="132" t="str">
        <f>IF(OR(D8&lt;350,D8&gt;800),"",IF(AC193=0,"",IF(J113=2,G114,"")))</f>
        <v/>
      </c>
      <c r="G25" s="132"/>
      <c r="H25" s="39" t="str">
        <f>IF(OR(D8&lt;350,D8&gt;800),"",IF(AC193=0,"",IF(J113=2,I114,"")))</f>
        <v/>
      </c>
      <c r="I25" s="39" t="str">
        <f>IF(OR(D8&lt;350,D8&gt;800),"",IF(AC193=0,"",IF(J113=2,J114,"")))</f>
        <v/>
      </c>
      <c r="J25" s="27" t="str">
        <f>IF(OR(D8&lt;350,D8&gt;800),"",IF(AC193=0,"",IF(J113=2,L114,"")))</f>
        <v/>
      </c>
      <c r="K25" s="27" t="str">
        <f>IF(OR(D8&lt;350,D8&gt;800),"",IF(AC193=0,"",IF(J113=2,M114,"")))</f>
        <v/>
      </c>
    </row>
    <row r="26" spans="2:14" ht="20.25" customHeight="1"/>
    <row r="27" spans="2:14" ht="20.25" hidden="1" customHeight="1">
      <c r="G27" s="134" t="s">
        <v>14</v>
      </c>
      <c r="H27" s="134"/>
      <c r="I27" s="40" t="s">
        <v>15</v>
      </c>
      <c r="J27" s="41">
        <f>SUM(J22:J25)</f>
        <v>0</v>
      </c>
    </row>
    <row r="28" spans="2:14" ht="15" hidden="1" customHeight="1">
      <c r="G28" s="135" t="s">
        <v>16</v>
      </c>
      <c r="H28" s="135"/>
      <c r="I28" s="40" t="s">
        <v>17</v>
      </c>
      <c r="J28" s="41">
        <f>SUM(K22:K25)</f>
        <v>0</v>
      </c>
    </row>
    <row r="29" spans="2:14" ht="15" customHeight="1"/>
    <row r="30" spans="2:14" ht="15" customHeight="1"/>
    <row r="31" spans="2:14" ht="15" customHeight="1"/>
    <row r="32" spans="2:14" ht="15" customHeight="1"/>
    <row r="33" spans="2:5" ht="15" customHeight="1"/>
    <row r="34" spans="2:5" ht="15" customHeight="1"/>
    <row r="35" spans="2:5">
      <c r="B35" s="133"/>
      <c r="C35" s="133"/>
      <c r="D35" s="133"/>
      <c r="E35" s="133"/>
    </row>
    <row r="36" spans="2:5">
      <c r="B36" s="133"/>
      <c r="C36" s="133"/>
      <c r="D36" s="133"/>
      <c r="E36" s="133"/>
    </row>
    <row r="37" spans="2:5">
      <c r="B37" s="133"/>
      <c r="C37" s="133"/>
      <c r="D37" s="133"/>
      <c r="E37" s="133"/>
    </row>
    <row r="38" spans="2:5">
      <c r="B38" s="133"/>
      <c r="C38" s="133"/>
      <c r="D38" s="133"/>
      <c r="E38" s="133"/>
    </row>
    <row r="39" spans="2:5">
      <c r="B39" s="133"/>
      <c r="C39" s="133"/>
      <c r="D39" s="133"/>
      <c r="E39" s="133"/>
    </row>
    <row r="84" spans="2:11" ht="9.75" customHeight="1"/>
    <row r="85" spans="2:11" ht="12.75" hidden="1" customHeight="1"/>
    <row r="86" spans="2:11" ht="12.75" hidden="1" customHeight="1"/>
    <row r="87" spans="2:11" ht="12.75" hidden="1" customHeight="1"/>
    <row r="88" spans="2:11" ht="12.75" hidden="1" customHeight="1">
      <c r="B88" s="50"/>
      <c r="C88" s="51" t="s">
        <v>18</v>
      </c>
      <c r="D88" s="51" t="s">
        <v>19</v>
      </c>
      <c r="E88" s="52" t="s">
        <v>20</v>
      </c>
      <c r="F88" s="51" t="s">
        <v>21</v>
      </c>
      <c r="G88" s="51" t="s">
        <v>13</v>
      </c>
      <c r="H88" s="136" t="s">
        <v>22</v>
      </c>
      <c r="I88" s="136"/>
      <c r="J88" s="53" t="s">
        <v>23</v>
      </c>
      <c r="K88" s="54" t="s">
        <v>24</v>
      </c>
    </row>
    <row r="89" spans="2:11" ht="12.75" hidden="1" customHeight="1">
      <c r="B89" s="56"/>
      <c r="C89" s="57" t="s">
        <v>25</v>
      </c>
      <c r="D89" s="57" t="s">
        <v>26</v>
      </c>
      <c r="E89" s="58" t="s">
        <v>26</v>
      </c>
      <c r="F89" s="57" t="s">
        <v>26</v>
      </c>
      <c r="G89" s="57" t="s">
        <v>27</v>
      </c>
      <c r="H89" s="59" t="s">
        <v>28</v>
      </c>
      <c r="I89" s="60" t="s">
        <v>29</v>
      </c>
      <c r="J89" s="61" t="s">
        <v>30</v>
      </c>
      <c r="K89" s="62"/>
    </row>
    <row r="90" spans="2:11" ht="12.75" hidden="1" customHeight="1">
      <c r="B90" s="137" t="s">
        <v>31</v>
      </c>
      <c r="C90" s="39">
        <v>7.25</v>
      </c>
      <c r="D90" s="37">
        <f>D10</f>
        <v>670</v>
      </c>
      <c r="E90" s="36">
        <f>D8</f>
        <v>595</v>
      </c>
      <c r="F90" s="37">
        <v>19</v>
      </c>
      <c r="G90" s="37">
        <v>1</v>
      </c>
      <c r="H90" s="37">
        <f>(D90*2+E90*2)*G90</f>
        <v>2530</v>
      </c>
      <c r="I90" s="63">
        <f>H90/10</f>
        <v>253</v>
      </c>
      <c r="J90" s="64">
        <f>I90*C90/1000</f>
        <v>1.8342499999999999</v>
      </c>
      <c r="K90" s="37" t="s">
        <v>32</v>
      </c>
    </row>
    <row r="91" spans="2:11" ht="12.75" hidden="1" customHeight="1">
      <c r="B91" s="137"/>
      <c r="C91" s="38">
        <f>200/57</f>
        <v>3.5087719298245612</v>
      </c>
      <c r="D91" s="37">
        <f>D10</f>
        <v>670</v>
      </c>
      <c r="E91" s="36">
        <f>D8</f>
        <v>595</v>
      </c>
      <c r="F91" s="37">
        <v>19</v>
      </c>
      <c r="G91" s="37">
        <v>1</v>
      </c>
      <c r="H91" s="37">
        <f>(D91*2+E91*2)*G91</f>
        <v>2530</v>
      </c>
      <c r="I91" s="63">
        <f>H91/10</f>
        <v>253</v>
      </c>
      <c r="J91" s="64">
        <f>I91*C91/1000</f>
        <v>0.88771929824561402</v>
      </c>
      <c r="K91" s="37" t="s">
        <v>33</v>
      </c>
    </row>
    <row r="92" spans="2:11" ht="12.75" hidden="1" customHeight="1">
      <c r="B92" s="37" t="s">
        <v>34</v>
      </c>
      <c r="C92" s="65">
        <v>2200</v>
      </c>
      <c r="D92" s="37">
        <f>D10</f>
        <v>670</v>
      </c>
      <c r="E92" s="36">
        <f>D8</f>
        <v>595</v>
      </c>
      <c r="F92" s="37">
        <v>4</v>
      </c>
      <c r="G92" s="37">
        <v>1</v>
      </c>
      <c r="H92" s="63">
        <f>D92*E92*F92*G92</f>
        <v>1594600</v>
      </c>
      <c r="I92" s="66">
        <f>H92/1000000000</f>
        <v>1.5946000000000001E-3</v>
      </c>
      <c r="J92" s="67">
        <f>I92*C92</f>
        <v>3.5081199999999999</v>
      </c>
      <c r="K92" s="68"/>
    </row>
    <row r="93" spans="2:11" ht="12.75" hidden="1" customHeight="1">
      <c r="B93" s="137" t="s">
        <v>35</v>
      </c>
      <c r="C93" s="64">
        <f>SUM(J90,J92)</f>
        <v>5.3423699999999998</v>
      </c>
      <c r="D93" s="37" t="s">
        <v>32</v>
      </c>
      <c r="E93" s="69"/>
      <c r="F93" s="70"/>
      <c r="G93" s="70"/>
      <c r="H93" s="69"/>
      <c r="I93" s="69"/>
      <c r="J93" s="71"/>
      <c r="K93" s="72"/>
    </row>
    <row r="94" spans="2:11" ht="12.75" hidden="1" customHeight="1">
      <c r="B94" s="137"/>
      <c r="C94" s="64">
        <f>SUM(J91,J92)</f>
        <v>4.3958392982456136</v>
      </c>
      <c r="D94" s="37" t="s">
        <v>33</v>
      </c>
      <c r="E94" s="73"/>
      <c r="F94" s="74"/>
      <c r="G94" s="74"/>
      <c r="H94" s="73"/>
      <c r="I94" s="73"/>
      <c r="J94" s="75"/>
      <c r="K94" s="76"/>
    </row>
    <row r="95" spans="2:11" ht="12.75" hidden="1" customHeight="1"/>
    <row r="96" spans="2:11" ht="12.75" hidden="1" customHeight="1">
      <c r="B96" s="145" t="s">
        <v>36</v>
      </c>
      <c r="C96" s="145"/>
      <c r="D96" s="145"/>
    </row>
    <row r="97" spans="2:30" ht="12.75" hidden="1" customHeight="1">
      <c r="B97" s="131" t="s">
        <v>82</v>
      </c>
      <c r="C97" s="131"/>
      <c r="D97" s="27">
        <f>(D8*D12*D10)/1000000000*680+(D14/1000)</f>
        <v>4.979476</v>
      </c>
      <c r="E97" s="9"/>
      <c r="F97" s="9"/>
      <c r="M97" s="10"/>
      <c r="N97" s="10"/>
      <c r="O97" s="10"/>
      <c r="P97" s="88"/>
      <c r="U97" s="23" t="s">
        <v>100</v>
      </c>
    </row>
    <row r="98" spans="2:30" ht="12.75" hidden="1" customHeight="1">
      <c r="B98" s="131" t="s">
        <v>83</v>
      </c>
      <c r="C98" s="131"/>
      <c r="D98" s="27">
        <f>(D8*D12*D10)/1000000000*760+(D14/1000)</f>
        <v>5.5535319999999997</v>
      </c>
      <c r="E98" s="9"/>
      <c r="F98" s="9"/>
      <c r="M98" s="95"/>
      <c r="N98" s="17"/>
      <c r="O98" s="17"/>
      <c r="P98" s="17"/>
      <c r="V98" s="146"/>
      <c r="W98" s="146"/>
      <c r="X98" s="146"/>
      <c r="Y98" s="146"/>
      <c r="Z98" s="146"/>
      <c r="AA98" s="146"/>
      <c r="AB98" s="146"/>
      <c r="AC98" s="146"/>
      <c r="AD98" s="146"/>
    </row>
    <row r="99" spans="2:30" ht="12.75" hidden="1" customHeight="1">
      <c r="B99" s="131" t="s">
        <v>84</v>
      </c>
      <c r="C99" s="131"/>
      <c r="D99" s="27">
        <f>C93+(D14/1000)</f>
        <v>5.4423699999999995</v>
      </c>
      <c r="E99" s="9"/>
      <c r="F99" s="9"/>
      <c r="M99" s="95"/>
      <c r="N99" s="17"/>
      <c r="O99" s="17"/>
      <c r="P99" s="17"/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</row>
    <row r="100" spans="2:30" ht="12.75" hidden="1" customHeight="1">
      <c r="B100" s="131" t="s">
        <v>85</v>
      </c>
      <c r="C100" s="131"/>
      <c r="D100" s="27">
        <f>C94+(D14/1000)</f>
        <v>4.4958392982456132</v>
      </c>
      <c r="E100" s="9"/>
      <c r="F100" s="9"/>
      <c r="M100" s="95"/>
      <c r="N100" s="17"/>
      <c r="O100" s="17"/>
      <c r="P100" s="17"/>
      <c r="U100" s="39">
        <v>350</v>
      </c>
      <c r="V100" s="39">
        <v>2</v>
      </c>
      <c r="W100" s="39">
        <v>4.74</v>
      </c>
      <c r="X100" s="96">
        <v>1</v>
      </c>
      <c r="Y100" s="39">
        <v>4.75</v>
      </c>
      <c r="Z100" s="39">
        <v>9.3699999999999992</v>
      </c>
      <c r="AA100" s="96">
        <v>2</v>
      </c>
      <c r="AB100" s="39">
        <v>9.3800000000000008</v>
      </c>
      <c r="AC100" s="39">
        <v>10.5</v>
      </c>
      <c r="AD100" s="96">
        <v>3</v>
      </c>
    </row>
    <row r="101" spans="2:30" ht="12.75" hidden="1" customHeight="1">
      <c r="M101" s="55"/>
      <c r="N101" s="17"/>
      <c r="O101" s="17"/>
      <c r="P101" s="17"/>
      <c r="U101" s="39">
        <v>355</v>
      </c>
      <c r="V101" s="39">
        <v>2</v>
      </c>
      <c r="W101" s="39">
        <v>4.62</v>
      </c>
      <c r="X101" s="96">
        <v>1</v>
      </c>
      <c r="Y101" s="39">
        <v>4.63</v>
      </c>
      <c r="Z101" s="39">
        <v>9.3699999999999992</v>
      </c>
      <c r="AA101" s="96">
        <v>2</v>
      </c>
      <c r="AB101" s="39">
        <v>9.3800000000000008</v>
      </c>
      <c r="AC101" s="39">
        <v>10.5</v>
      </c>
      <c r="AD101" s="96">
        <v>3</v>
      </c>
    </row>
    <row r="102" spans="2:30" ht="12.75" hidden="1" customHeight="1">
      <c r="B102" s="144" t="s">
        <v>101</v>
      </c>
      <c r="C102" s="144"/>
      <c r="D102" s="144"/>
      <c r="E102" s="144"/>
      <c r="F102" s="144"/>
      <c r="G102" s="132" t="s">
        <v>102</v>
      </c>
      <c r="H102" s="132"/>
      <c r="I102" s="39">
        <v>318300</v>
      </c>
      <c r="J102" s="39">
        <f>IF(AC193=1,1,0)</f>
        <v>0</v>
      </c>
      <c r="K102" s="27">
        <v>98.46</v>
      </c>
      <c r="L102" s="27">
        <f>SUM((K102*J102)-((K102*J102)/100)*L2)</f>
        <v>0</v>
      </c>
      <c r="M102" s="84">
        <f>L102*30.126</f>
        <v>0</v>
      </c>
      <c r="N102" s="17"/>
      <c r="O102" s="17"/>
      <c r="P102" s="17"/>
      <c r="U102" s="39">
        <v>360</v>
      </c>
      <c r="V102" s="39">
        <v>2</v>
      </c>
      <c r="W102" s="39">
        <v>4.62</v>
      </c>
      <c r="X102" s="96">
        <v>1</v>
      </c>
      <c r="Y102" s="39">
        <v>4.63</v>
      </c>
      <c r="Z102" s="39">
        <v>9.3699999999999992</v>
      </c>
      <c r="AA102" s="96">
        <v>2</v>
      </c>
      <c r="AB102" s="39">
        <v>9.3800000000000008</v>
      </c>
      <c r="AC102" s="39">
        <v>10.75</v>
      </c>
      <c r="AD102" s="96">
        <v>3</v>
      </c>
    </row>
    <row r="103" spans="2:30" ht="12.75" hidden="1" customHeight="1">
      <c r="B103" s="144" t="s">
        <v>103</v>
      </c>
      <c r="C103" s="144"/>
      <c r="D103" s="144"/>
      <c r="E103" s="144"/>
      <c r="F103" s="144"/>
      <c r="G103" s="132" t="s">
        <v>104</v>
      </c>
      <c r="H103" s="132"/>
      <c r="I103" s="39">
        <v>318301</v>
      </c>
      <c r="J103" s="39">
        <f>IF(AC193=2,1,0)</f>
        <v>0</v>
      </c>
      <c r="K103" s="27">
        <v>98.46</v>
      </c>
      <c r="L103" s="27">
        <f>SUM((K103*J103)-((K103*J103)/100)*L2)</f>
        <v>0</v>
      </c>
      <c r="M103" s="84">
        <f t="shared" ref="M103:M114" si="0">L103*30.126</f>
        <v>0</v>
      </c>
      <c r="N103" s="17"/>
      <c r="O103" s="17"/>
      <c r="P103" s="17"/>
      <c r="U103" s="39">
        <v>365</v>
      </c>
      <c r="V103" s="39">
        <v>2</v>
      </c>
      <c r="W103" s="39">
        <v>4.62</v>
      </c>
      <c r="X103" s="96">
        <v>1</v>
      </c>
      <c r="Y103" s="39">
        <v>4.63</v>
      </c>
      <c r="Z103" s="39">
        <v>9.1199999999999992</v>
      </c>
      <c r="AA103" s="96">
        <v>2</v>
      </c>
      <c r="AB103" s="39">
        <v>9.1300000000000008</v>
      </c>
      <c r="AC103" s="39">
        <v>11</v>
      </c>
      <c r="AD103" s="96">
        <v>3</v>
      </c>
    </row>
    <row r="104" spans="2:30" ht="12.75" hidden="1" customHeight="1">
      <c r="B104" s="144" t="s">
        <v>105</v>
      </c>
      <c r="C104" s="144"/>
      <c r="D104" s="144"/>
      <c r="E104" s="144"/>
      <c r="F104" s="144"/>
      <c r="G104" s="132" t="s">
        <v>106</v>
      </c>
      <c r="H104" s="132"/>
      <c r="I104" s="39">
        <v>318302</v>
      </c>
      <c r="J104" s="39">
        <f>IF(AC193=3,1,0)</f>
        <v>0</v>
      </c>
      <c r="K104" s="27">
        <v>103.79</v>
      </c>
      <c r="L104" s="27">
        <f>SUM((K104*J104)-((K104*J104)/100)*L2)</f>
        <v>0</v>
      </c>
      <c r="M104" s="84">
        <f t="shared" si="0"/>
        <v>0</v>
      </c>
      <c r="N104" s="17"/>
      <c r="O104" s="17"/>
      <c r="P104" s="17"/>
      <c r="U104" s="39">
        <v>370</v>
      </c>
      <c r="V104" s="39">
        <v>2</v>
      </c>
      <c r="W104" s="39">
        <v>4.62</v>
      </c>
      <c r="X104" s="96">
        <v>1</v>
      </c>
      <c r="Y104" s="39">
        <v>4.63</v>
      </c>
      <c r="Z104" s="39">
        <v>9.1199999999999992</v>
      </c>
      <c r="AA104" s="96">
        <v>2</v>
      </c>
      <c r="AB104" s="39">
        <v>9.1300000000000008</v>
      </c>
      <c r="AC104" s="39">
        <v>11</v>
      </c>
      <c r="AD104" s="96">
        <v>3</v>
      </c>
    </row>
    <row r="105" spans="2:30" ht="12.75" hidden="1" customHeight="1">
      <c r="B105" s="144" t="s">
        <v>107</v>
      </c>
      <c r="C105" s="144"/>
      <c r="D105" s="144"/>
      <c r="E105" s="144"/>
      <c r="F105" s="144"/>
      <c r="G105" s="132" t="s">
        <v>108</v>
      </c>
      <c r="H105" s="132"/>
      <c r="I105" s="39">
        <v>318303</v>
      </c>
      <c r="J105" s="39">
        <f>IF(AC193=4,1,0)</f>
        <v>1</v>
      </c>
      <c r="K105" s="27">
        <v>98.46</v>
      </c>
      <c r="L105" s="27">
        <f>SUM((K105*J105)-((K105*J105)/100)*L2)</f>
        <v>98.46</v>
      </c>
      <c r="M105" s="84">
        <f t="shared" si="0"/>
        <v>2966.2059599999998</v>
      </c>
      <c r="N105" s="17"/>
      <c r="O105" s="17"/>
      <c r="P105" s="17"/>
      <c r="U105" s="39">
        <v>375</v>
      </c>
      <c r="V105" s="39">
        <v>2</v>
      </c>
      <c r="W105" s="39">
        <v>4.62</v>
      </c>
      <c r="X105" s="96">
        <v>1</v>
      </c>
      <c r="Y105" s="39">
        <v>4.63</v>
      </c>
      <c r="Z105" s="39">
        <v>9.1199999999999992</v>
      </c>
      <c r="AA105" s="96">
        <v>2</v>
      </c>
      <c r="AB105" s="39">
        <v>9.1300000000000008</v>
      </c>
      <c r="AC105" s="39">
        <v>11.25</v>
      </c>
      <c r="AD105" s="96">
        <v>3</v>
      </c>
    </row>
    <row r="106" spans="2:30" ht="12.75" hidden="1" customHeight="1">
      <c r="B106" s="144" t="s">
        <v>109</v>
      </c>
      <c r="C106" s="144"/>
      <c r="D106" s="144"/>
      <c r="E106" s="144"/>
      <c r="F106" s="144"/>
      <c r="G106" s="132" t="s">
        <v>110</v>
      </c>
      <c r="H106" s="132"/>
      <c r="I106" s="39">
        <v>318304</v>
      </c>
      <c r="J106" s="39">
        <f>IF(AC193=5,1,0)</f>
        <v>0</v>
      </c>
      <c r="K106" s="27">
        <v>103.79</v>
      </c>
      <c r="L106" s="27">
        <f>SUM((K106*J106)-((K106*J106)/100)*L2)</f>
        <v>0</v>
      </c>
      <c r="M106" s="84">
        <f t="shared" si="0"/>
        <v>0</v>
      </c>
      <c r="N106" s="17"/>
      <c r="O106" s="17"/>
      <c r="P106" s="17"/>
      <c r="U106" s="39">
        <v>380</v>
      </c>
      <c r="V106" s="39">
        <v>2</v>
      </c>
      <c r="W106" s="39">
        <v>4.62</v>
      </c>
      <c r="X106" s="96">
        <v>1</v>
      </c>
      <c r="Y106" s="39">
        <v>4.63</v>
      </c>
      <c r="Z106" s="39">
        <v>9.1199999999999992</v>
      </c>
      <c r="AA106" s="96">
        <v>2</v>
      </c>
      <c r="AB106" s="39">
        <v>9.1300000000000008</v>
      </c>
      <c r="AC106" s="39">
        <v>11.25</v>
      </c>
      <c r="AD106" s="96">
        <v>3</v>
      </c>
    </row>
    <row r="107" spans="2:30" ht="12.75" hidden="1" customHeight="1">
      <c r="B107" s="144" t="s">
        <v>111</v>
      </c>
      <c r="C107" s="144"/>
      <c r="D107" s="144"/>
      <c r="E107" s="144"/>
      <c r="F107" s="144"/>
      <c r="G107" s="132" t="s">
        <v>112</v>
      </c>
      <c r="H107" s="132"/>
      <c r="I107" s="39">
        <v>318305</v>
      </c>
      <c r="J107" s="39">
        <f>IF(AC193=6,1,0)</f>
        <v>0</v>
      </c>
      <c r="K107" s="27">
        <v>141.86000000000001</v>
      </c>
      <c r="L107" s="27">
        <f>SUM((K107*J107)-((K107*J107)/100)*L2)</f>
        <v>0</v>
      </c>
      <c r="M107" s="84">
        <f t="shared" si="0"/>
        <v>0</v>
      </c>
      <c r="N107" s="17"/>
      <c r="O107" s="17"/>
      <c r="P107" s="17"/>
      <c r="U107" s="39">
        <v>385</v>
      </c>
      <c r="V107" s="39">
        <v>2</v>
      </c>
      <c r="W107" s="39">
        <v>4.62</v>
      </c>
      <c r="X107" s="96">
        <v>1</v>
      </c>
      <c r="Y107" s="39">
        <v>4.63</v>
      </c>
      <c r="Z107" s="39">
        <v>9.1199999999999992</v>
      </c>
      <c r="AA107" s="96">
        <v>2</v>
      </c>
      <c r="AB107" s="39">
        <v>9.1300000000000008</v>
      </c>
      <c r="AC107" s="39">
        <v>11.5</v>
      </c>
      <c r="AD107" s="96">
        <v>3</v>
      </c>
    </row>
    <row r="108" spans="2:30" ht="12.75" hidden="1" customHeight="1">
      <c r="B108" s="144" t="s">
        <v>113</v>
      </c>
      <c r="C108" s="144"/>
      <c r="D108" s="144"/>
      <c r="E108" s="144"/>
      <c r="F108" s="144"/>
      <c r="G108" s="132" t="s">
        <v>114</v>
      </c>
      <c r="H108" s="132"/>
      <c r="I108" s="39">
        <v>318306</v>
      </c>
      <c r="J108" s="39">
        <f>IF(AC193=7,1,0)</f>
        <v>0</v>
      </c>
      <c r="K108" s="27">
        <v>103.79</v>
      </c>
      <c r="L108" s="27">
        <f>SUM((K108*J108)-((K108*J108)/100)*L2)</f>
        <v>0</v>
      </c>
      <c r="M108" s="84">
        <f t="shared" si="0"/>
        <v>0</v>
      </c>
      <c r="N108" s="17"/>
      <c r="O108" s="17"/>
      <c r="P108" s="17"/>
      <c r="U108" s="39">
        <v>390</v>
      </c>
      <c r="V108" s="39">
        <v>2</v>
      </c>
      <c r="W108" s="39">
        <v>4.62</v>
      </c>
      <c r="X108" s="96">
        <v>1</v>
      </c>
      <c r="Y108" s="39">
        <v>4.63</v>
      </c>
      <c r="Z108" s="39">
        <v>8.8699999999999992</v>
      </c>
      <c r="AA108" s="96">
        <v>2</v>
      </c>
      <c r="AB108" s="39">
        <v>8.8800000000000008</v>
      </c>
      <c r="AC108" s="39">
        <v>11.5</v>
      </c>
      <c r="AD108" s="96">
        <v>3</v>
      </c>
    </row>
    <row r="109" spans="2:30" ht="12.75" hidden="1" customHeight="1">
      <c r="B109" s="144" t="s">
        <v>115</v>
      </c>
      <c r="C109" s="144"/>
      <c r="D109" s="144"/>
      <c r="E109" s="144"/>
      <c r="F109" s="144"/>
      <c r="G109" s="132" t="s">
        <v>116</v>
      </c>
      <c r="H109" s="132"/>
      <c r="I109" s="39">
        <v>318307</v>
      </c>
      <c r="J109" s="39">
        <f>IF(AC193=8,1,0)</f>
        <v>0</v>
      </c>
      <c r="K109" s="27">
        <v>103.79</v>
      </c>
      <c r="L109" s="27">
        <f>SUM((K109*J109)-((K109*J109)/100)*L2)</f>
        <v>0</v>
      </c>
      <c r="M109" s="84">
        <f t="shared" si="0"/>
        <v>0</v>
      </c>
      <c r="N109" s="17"/>
      <c r="O109" s="17"/>
      <c r="P109" s="17"/>
      <c r="U109" s="39">
        <v>395</v>
      </c>
      <c r="V109" s="39">
        <v>2</v>
      </c>
      <c r="W109" s="39">
        <v>4.62</v>
      </c>
      <c r="X109" s="96">
        <v>1</v>
      </c>
      <c r="Y109" s="39">
        <v>4.63</v>
      </c>
      <c r="Z109" s="39">
        <v>8.8699999999999992</v>
      </c>
      <c r="AA109" s="96">
        <v>2</v>
      </c>
      <c r="AB109" s="39">
        <v>8.8800000000000008</v>
      </c>
      <c r="AC109" s="39">
        <v>11.75</v>
      </c>
      <c r="AD109" s="96">
        <v>3</v>
      </c>
    </row>
    <row r="110" spans="2:30" ht="12.75" hidden="1" customHeight="1">
      <c r="B110" s="144" t="s">
        <v>117</v>
      </c>
      <c r="C110" s="144"/>
      <c r="D110" s="144"/>
      <c r="E110" s="144"/>
      <c r="F110" s="144"/>
      <c r="G110" s="132" t="s">
        <v>118</v>
      </c>
      <c r="H110" s="132"/>
      <c r="I110" s="39">
        <v>318308</v>
      </c>
      <c r="J110" s="39">
        <f>IF(AC193=9,1,0)</f>
        <v>0</v>
      </c>
      <c r="K110" s="27">
        <v>141.86000000000001</v>
      </c>
      <c r="L110" s="27">
        <f>SUM((K110*J110)-((K110*J110)/100)*L2)</f>
        <v>0</v>
      </c>
      <c r="M110" s="84">
        <f t="shared" si="0"/>
        <v>0</v>
      </c>
      <c r="N110" s="17"/>
      <c r="O110" s="17"/>
      <c r="P110" s="17"/>
      <c r="U110" s="39">
        <v>400</v>
      </c>
      <c r="V110" s="39">
        <v>2</v>
      </c>
      <c r="W110" s="39">
        <v>4.49</v>
      </c>
      <c r="X110" s="96">
        <v>1</v>
      </c>
      <c r="Y110" s="39">
        <v>4.5</v>
      </c>
      <c r="Z110" s="39">
        <v>8.8699999999999992</v>
      </c>
      <c r="AA110" s="96">
        <v>2</v>
      </c>
      <c r="AB110" s="39">
        <v>8.8800000000000008</v>
      </c>
      <c r="AC110" s="39">
        <v>12</v>
      </c>
      <c r="AD110" s="96">
        <v>3</v>
      </c>
    </row>
    <row r="111" spans="2:30" ht="12.75" hidden="1" customHeight="1">
      <c r="B111" s="144" t="s">
        <v>119</v>
      </c>
      <c r="C111" s="144"/>
      <c r="D111" s="144"/>
      <c r="E111" s="144"/>
      <c r="F111" s="144"/>
      <c r="G111" s="132" t="s">
        <v>120</v>
      </c>
      <c r="H111" s="132"/>
      <c r="I111" s="39">
        <v>318310</v>
      </c>
      <c r="J111" s="39">
        <f>IF(B4&lt;4,1,0)</f>
        <v>1</v>
      </c>
      <c r="K111" s="27">
        <v>3.15</v>
      </c>
      <c r="L111" s="27">
        <f>SUM((K111*J111)-((K111*J111)/100)*L2)</f>
        <v>3.15</v>
      </c>
      <c r="M111" s="84">
        <f t="shared" si="0"/>
        <v>94.896900000000002</v>
      </c>
      <c r="N111" s="17"/>
      <c r="O111" s="17"/>
      <c r="P111" s="17"/>
      <c r="U111" s="39">
        <v>405</v>
      </c>
      <c r="V111" s="39">
        <v>2.25</v>
      </c>
      <c r="W111" s="39">
        <v>4.37</v>
      </c>
      <c r="X111" s="96">
        <v>1</v>
      </c>
      <c r="Y111" s="39">
        <v>4.38</v>
      </c>
      <c r="Z111" s="39">
        <v>8.8699999999999992</v>
      </c>
      <c r="AA111" s="96">
        <v>2</v>
      </c>
      <c r="AB111" s="39">
        <v>8.8800000000000008</v>
      </c>
      <c r="AC111" s="39">
        <v>12</v>
      </c>
      <c r="AD111" s="96">
        <v>3</v>
      </c>
    </row>
    <row r="112" spans="2:30" ht="12.75" hidden="1" customHeight="1">
      <c r="B112" s="144" t="s">
        <v>121</v>
      </c>
      <c r="C112" s="144"/>
      <c r="D112" s="144"/>
      <c r="E112" s="144"/>
      <c r="F112" s="144"/>
      <c r="G112" s="132" t="s">
        <v>122</v>
      </c>
      <c r="H112" s="132"/>
      <c r="I112" s="39">
        <v>318311</v>
      </c>
      <c r="J112" s="39">
        <f>IF(B4&gt;3,1,0)</f>
        <v>0</v>
      </c>
      <c r="K112" s="27">
        <v>12.83</v>
      </c>
      <c r="L112" s="27">
        <f>SUM((K112*J112)-((K112*J112)/100)*L2)</f>
        <v>0</v>
      </c>
      <c r="M112" s="84">
        <f t="shared" si="0"/>
        <v>0</v>
      </c>
      <c r="N112" s="17"/>
      <c r="O112" s="17"/>
      <c r="P112" s="17"/>
      <c r="U112" s="39">
        <v>410</v>
      </c>
      <c r="V112" s="39">
        <v>2.25</v>
      </c>
      <c r="W112" s="39">
        <v>4.37</v>
      </c>
      <c r="X112" s="96">
        <v>1</v>
      </c>
      <c r="Y112" s="39">
        <v>4.38</v>
      </c>
      <c r="Z112" s="39">
        <v>8.8699999999999992</v>
      </c>
      <c r="AA112" s="96">
        <v>2</v>
      </c>
      <c r="AB112" s="39">
        <v>8.8800000000000008</v>
      </c>
      <c r="AC112" s="39">
        <v>12.25</v>
      </c>
      <c r="AD112" s="96">
        <v>3</v>
      </c>
    </row>
    <row r="113" spans="2:30" ht="12.75" hidden="1" customHeight="1">
      <c r="B113" s="144" t="s">
        <v>123</v>
      </c>
      <c r="C113" s="144"/>
      <c r="D113" s="144"/>
      <c r="E113" s="144"/>
      <c r="F113" s="144"/>
      <c r="G113" s="132" t="s">
        <v>124</v>
      </c>
      <c r="H113" s="132"/>
      <c r="I113" s="39">
        <v>318312</v>
      </c>
      <c r="J113" s="39">
        <f>IF((D10-D12-120)&lt;=1060,1,2)</f>
        <v>1</v>
      </c>
      <c r="K113" s="27">
        <v>6.87</v>
      </c>
      <c r="L113" s="27">
        <f>SUM((K113*J113)-((K113*J113)/100)*L2)</f>
        <v>6.87</v>
      </c>
      <c r="M113" s="84">
        <f t="shared" si="0"/>
        <v>206.96562</v>
      </c>
      <c r="N113" s="17"/>
      <c r="O113" s="17"/>
      <c r="P113" s="17"/>
      <c r="U113" s="39">
        <v>415</v>
      </c>
      <c r="V113" s="39">
        <v>2.25</v>
      </c>
      <c r="W113" s="39">
        <v>4.37</v>
      </c>
      <c r="X113" s="96">
        <v>1</v>
      </c>
      <c r="Y113" s="39">
        <v>4.38</v>
      </c>
      <c r="Z113" s="39">
        <v>8.6199999999999992</v>
      </c>
      <c r="AA113" s="96">
        <v>2</v>
      </c>
      <c r="AB113" s="39">
        <v>8.6300000000000008</v>
      </c>
      <c r="AC113" s="39">
        <v>12.5</v>
      </c>
      <c r="AD113" s="96">
        <v>3</v>
      </c>
    </row>
    <row r="114" spans="2:30" ht="12.75" hidden="1" customHeight="1">
      <c r="B114" s="144" t="s">
        <v>125</v>
      </c>
      <c r="C114" s="144"/>
      <c r="D114" s="144"/>
      <c r="E114" s="144"/>
      <c r="F114" s="144"/>
      <c r="G114" s="132" t="s">
        <v>126</v>
      </c>
      <c r="H114" s="132"/>
      <c r="I114" s="39">
        <v>318313</v>
      </c>
      <c r="J114" s="39">
        <f>IF(J113=2,1,0)</f>
        <v>0</v>
      </c>
      <c r="K114" s="27">
        <v>11.74</v>
      </c>
      <c r="L114" s="27">
        <f>SUM((K114*J114)-((K114*J114)/100)*L2)</f>
        <v>0</v>
      </c>
      <c r="M114" s="84">
        <f t="shared" si="0"/>
        <v>0</v>
      </c>
      <c r="N114" s="17"/>
      <c r="O114" s="17"/>
      <c r="P114" s="17"/>
      <c r="U114" s="39">
        <v>420</v>
      </c>
      <c r="V114" s="39">
        <v>2.25</v>
      </c>
      <c r="W114" s="39">
        <v>4.37</v>
      </c>
      <c r="X114" s="96">
        <v>1</v>
      </c>
      <c r="Y114" s="39">
        <v>4.38</v>
      </c>
      <c r="Z114" s="39">
        <v>8.6199999999999992</v>
      </c>
      <c r="AA114" s="96">
        <v>2</v>
      </c>
      <c r="AB114" s="39">
        <v>8.6300000000000008</v>
      </c>
      <c r="AC114" s="39">
        <v>12.5</v>
      </c>
      <c r="AD114" s="96">
        <v>3</v>
      </c>
    </row>
    <row r="115" spans="2:30" ht="12.75" hidden="1" customHeight="1">
      <c r="B115" s="141" t="str">
        <f>IF(AC193=7,B108,IF(AC193=8,B109,IF(AC193=9,B110,"Aventos neexistuje")))</f>
        <v>Aventos neexistuje</v>
      </c>
      <c r="C115" s="141"/>
      <c r="D115" s="141"/>
      <c r="E115" s="141"/>
      <c r="F115" s="141"/>
      <c r="G115" s="141" t="str">
        <f>IF(AC193=7,G108,IF(AC193=8,G109,IF(AC193=9,G110,"")))</f>
        <v/>
      </c>
      <c r="H115" s="141"/>
      <c r="I115" s="82" t="str">
        <f>IF(AC193=7,I108,IF(AC193=8,I109,IF(AC193=9,I110,"")))</f>
        <v/>
      </c>
      <c r="J115" s="82" t="str">
        <f>IF(AC193=7,J108,IF(AC193=8,J109,IF(AC193=9,J110,"")))</f>
        <v/>
      </c>
      <c r="K115" s="82" t="str">
        <f>IF(AC193=7,L108,IF(AC193=8,L109,IF(AC193=9,L110,"")))</f>
        <v/>
      </c>
      <c r="L115" s="82"/>
      <c r="M115" s="97"/>
      <c r="N115" s="17"/>
      <c r="O115" s="17"/>
      <c r="P115" s="17"/>
      <c r="U115" s="39">
        <v>425</v>
      </c>
      <c r="V115" s="39">
        <v>2.25</v>
      </c>
      <c r="W115" s="39">
        <v>4.37</v>
      </c>
      <c r="X115" s="96">
        <v>1</v>
      </c>
      <c r="Y115" s="39">
        <v>4.38</v>
      </c>
      <c r="Z115" s="39">
        <v>8.6199999999999992</v>
      </c>
      <c r="AA115" s="96">
        <v>2</v>
      </c>
      <c r="AB115" s="39">
        <v>8.6300000000000008</v>
      </c>
      <c r="AC115" s="39">
        <v>12.75</v>
      </c>
      <c r="AD115" s="96">
        <v>3</v>
      </c>
    </row>
    <row r="116" spans="2:30" ht="12.75" hidden="1" customHeight="1">
      <c r="M116" s="98"/>
      <c r="N116" s="17"/>
      <c r="O116" s="17"/>
      <c r="P116" s="17"/>
      <c r="U116" s="39">
        <v>430</v>
      </c>
      <c r="V116" s="39">
        <v>2.25</v>
      </c>
      <c r="W116" s="39">
        <v>4.37</v>
      </c>
      <c r="X116" s="96">
        <v>1</v>
      </c>
      <c r="Y116" s="39">
        <v>4.38</v>
      </c>
      <c r="Z116" s="39">
        <v>8.6199999999999992</v>
      </c>
      <c r="AA116" s="96">
        <v>2</v>
      </c>
      <c r="AB116" s="39">
        <v>8.6300000000000008</v>
      </c>
      <c r="AC116" s="39">
        <v>12.75</v>
      </c>
      <c r="AD116" s="96">
        <v>3</v>
      </c>
    </row>
    <row r="117" spans="2:30" ht="12.75" hidden="1" customHeight="1">
      <c r="M117" s="98"/>
      <c r="N117" s="17"/>
      <c r="O117" s="17"/>
      <c r="P117" s="17"/>
      <c r="U117" s="39">
        <v>435</v>
      </c>
      <c r="V117" s="39">
        <v>2.25</v>
      </c>
      <c r="W117" s="39">
        <v>4.37</v>
      </c>
      <c r="X117" s="96">
        <v>1</v>
      </c>
      <c r="Y117" s="39">
        <v>4.38</v>
      </c>
      <c r="Z117" s="39">
        <v>8.6199999999999992</v>
      </c>
      <c r="AA117" s="96">
        <v>2</v>
      </c>
      <c r="AB117" s="39">
        <v>8.6300000000000008</v>
      </c>
      <c r="AC117" s="39">
        <v>13</v>
      </c>
      <c r="AD117" s="96">
        <v>3</v>
      </c>
    </row>
    <row r="118" spans="2:30" ht="12.75" hidden="1" customHeight="1">
      <c r="M118" s="98"/>
      <c r="N118" s="17"/>
      <c r="O118" s="17"/>
      <c r="P118" s="17"/>
      <c r="U118" s="39">
        <v>440</v>
      </c>
      <c r="V118" s="39">
        <v>2.25</v>
      </c>
      <c r="W118" s="39">
        <v>4.37</v>
      </c>
      <c r="X118" s="96">
        <v>1</v>
      </c>
      <c r="Y118" s="39">
        <v>4.38</v>
      </c>
      <c r="Z118" s="39">
        <v>8.3699999999999992</v>
      </c>
      <c r="AA118" s="96">
        <v>2</v>
      </c>
      <c r="AB118" s="39">
        <v>8.3800000000000008</v>
      </c>
      <c r="AC118" s="39">
        <v>13</v>
      </c>
      <c r="AD118" s="96">
        <v>3</v>
      </c>
    </row>
    <row r="119" spans="2:30" ht="12.75" hidden="1" customHeight="1">
      <c r="M119" s="98"/>
      <c r="N119" s="17"/>
      <c r="O119" s="17"/>
      <c r="P119" s="17"/>
      <c r="U119" s="39">
        <v>445</v>
      </c>
      <c r="V119" s="39">
        <v>2.25</v>
      </c>
      <c r="W119" s="39">
        <v>4.37</v>
      </c>
      <c r="X119" s="96">
        <v>1</v>
      </c>
      <c r="Y119" s="39">
        <v>4.38</v>
      </c>
      <c r="Z119" s="39">
        <v>8.3699999999999992</v>
      </c>
      <c r="AA119" s="96">
        <v>2</v>
      </c>
      <c r="AB119" s="39">
        <v>8.3800000000000008</v>
      </c>
      <c r="AC119" s="39">
        <v>13.25</v>
      </c>
      <c r="AD119" s="96">
        <v>3</v>
      </c>
    </row>
    <row r="120" spans="2:30" ht="12.75" hidden="1" customHeight="1">
      <c r="M120" s="98"/>
      <c r="N120" s="17"/>
      <c r="O120" s="17"/>
      <c r="P120" s="17"/>
      <c r="U120" s="39">
        <v>450</v>
      </c>
      <c r="V120" s="39">
        <v>2.25</v>
      </c>
      <c r="W120" s="39">
        <v>4.12</v>
      </c>
      <c r="X120" s="96">
        <v>1</v>
      </c>
      <c r="Y120" s="39">
        <v>4.13</v>
      </c>
      <c r="Z120" s="39">
        <v>8.3699999999999992</v>
      </c>
      <c r="AA120" s="96">
        <v>2</v>
      </c>
      <c r="AB120" s="39">
        <v>8.3800000000000008</v>
      </c>
      <c r="AC120" s="39">
        <v>13.5</v>
      </c>
      <c r="AD120" s="96">
        <v>3</v>
      </c>
    </row>
    <row r="121" spans="2:30" ht="15.75" customHeight="1">
      <c r="M121" s="98"/>
      <c r="N121" s="17"/>
      <c r="O121" s="17"/>
      <c r="P121" s="17"/>
      <c r="U121" s="39">
        <v>455</v>
      </c>
      <c r="V121" s="39">
        <v>2.25</v>
      </c>
      <c r="W121" s="39">
        <v>4.12</v>
      </c>
      <c r="X121" s="96">
        <v>1</v>
      </c>
      <c r="Y121" s="39">
        <v>4.13</v>
      </c>
      <c r="Z121" s="39">
        <v>8.3699999999999992</v>
      </c>
      <c r="AA121" s="96">
        <v>2</v>
      </c>
      <c r="AB121" s="39">
        <v>8.3800000000000008</v>
      </c>
      <c r="AC121" s="39">
        <v>13.5</v>
      </c>
      <c r="AD121" s="96">
        <v>3</v>
      </c>
    </row>
    <row r="122" spans="2:30" ht="15.75" customHeight="1">
      <c r="M122" s="98"/>
      <c r="N122" s="17"/>
      <c r="O122" s="17"/>
      <c r="P122" s="17"/>
      <c r="U122" s="39">
        <v>460</v>
      </c>
      <c r="V122" s="39">
        <v>2.25</v>
      </c>
      <c r="W122" s="39">
        <v>4.12</v>
      </c>
      <c r="X122" s="96">
        <v>1</v>
      </c>
      <c r="Y122" s="39">
        <v>4.13</v>
      </c>
      <c r="Z122" s="39">
        <v>8.1199999999999992</v>
      </c>
      <c r="AA122" s="96">
        <v>2</v>
      </c>
      <c r="AB122" s="39">
        <v>8.1300000000000008</v>
      </c>
      <c r="AC122" s="39">
        <v>13.75</v>
      </c>
      <c r="AD122" s="96">
        <v>3</v>
      </c>
    </row>
    <row r="123" spans="2:30" ht="15.75" customHeight="1">
      <c r="M123" s="98"/>
      <c r="N123" s="17"/>
      <c r="O123" s="17"/>
      <c r="P123" s="17"/>
      <c r="U123" s="39">
        <v>465</v>
      </c>
      <c r="V123" s="39">
        <v>2.25</v>
      </c>
      <c r="W123" s="39">
        <v>4.12</v>
      </c>
      <c r="X123" s="96">
        <v>1</v>
      </c>
      <c r="Y123" s="39">
        <v>4.13</v>
      </c>
      <c r="Z123" s="39">
        <v>8.1199999999999992</v>
      </c>
      <c r="AA123" s="96">
        <v>2</v>
      </c>
      <c r="AB123" s="39">
        <v>8.1300000000000008</v>
      </c>
      <c r="AC123" s="39">
        <v>13.75</v>
      </c>
      <c r="AD123" s="96">
        <v>3</v>
      </c>
    </row>
    <row r="124" spans="2:30" ht="15.75" customHeight="1">
      <c r="M124" s="98"/>
      <c r="N124" s="17"/>
      <c r="O124" s="17"/>
      <c r="P124" s="17"/>
      <c r="U124" s="39">
        <v>470</v>
      </c>
      <c r="V124" s="99">
        <v>2.5</v>
      </c>
      <c r="W124" s="99">
        <v>4.12</v>
      </c>
      <c r="X124" s="100">
        <v>1</v>
      </c>
      <c r="Y124" s="99">
        <v>4.13</v>
      </c>
      <c r="Z124" s="99">
        <v>8.1199999999999992</v>
      </c>
      <c r="AA124" s="100">
        <v>2</v>
      </c>
      <c r="AB124" s="99">
        <v>8.1300000000000008</v>
      </c>
      <c r="AC124" s="99">
        <v>14</v>
      </c>
      <c r="AD124" s="100">
        <v>3</v>
      </c>
    </row>
    <row r="125" spans="2:30" ht="15.75" customHeight="1">
      <c r="M125" s="98"/>
      <c r="N125" s="17"/>
      <c r="O125" s="17"/>
      <c r="P125" s="17"/>
      <c r="U125" s="39">
        <v>475</v>
      </c>
      <c r="V125" s="39">
        <v>2.5</v>
      </c>
      <c r="W125" s="39">
        <v>3.99</v>
      </c>
      <c r="X125" s="96">
        <v>1</v>
      </c>
      <c r="Y125" s="39">
        <v>4</v>
      </c>
      <c r="Z125" s="39">
        <v>7.87</v>
      </c>
      <c r="AA125" s="96">
        <v>2</v>
      </c>
      <c r="AB125" s="39">
        <v>7.88</v>
      </c>
      <c r="AC125" s="39">
        <v>14</v>
      </c>
      <c r="AD125" s="96">
        <v>3</v>
      </c>
    </row>
    <row r="126" spans="2:30" ht="15.75" customHeight="1">
      <c r="M126" s="98"/>
      <c r="N126" s="17"/>
      <c r="O126" s="17"/>
      <c r="P126" s="17"/>
      <c r="U126" s="39">
        <v>480</v>
      </c>
      <c r="V126" s="39">
        <v>2.5</v>
      </c>
      <c r="W126" s="39">
        <v>3.99</v>
      </c>
      <c r="X126" s="96">
        <v>1</v>
      </c>
      <c r="Y126" s="39">
        <v>4</v>
      </c>
      <c r="Z126" s="39">
        <v>7.87</v>
      </c>
      <c r="AA126" s="96">
        <v>2</v>
      </c>
      <c r="AB126" s="39">
        <v>7.88</v>
      </c>
      <c r="AC126" s="39">
        <v>14.25</v>
      </c>
      <c r="AD126" s="96">
        <v>3</v>
      </c>
    </row>
    <row r="127" spans="2:30" ht="15.75" customHeight="1">
      <c r="M127" s="98"/>
      <c r="N127" s="17"/>
      <c r="O127" s="17"/>
      <c r="P127" s="17"/>
      <c r="U127" s="39">
        <v>485</v>
      </c>
      <c r="V127" s="39">
        <v>2.5</v>
      </c>
      <c r="W127" s="39">
        <v>3.99</v>
      </c>
      <c r="X127" s="96">
        <v>1</v>
      </c>
      <c r="Y127" s="39">
        <v>4</v>
      </c>
      <c r="Z127" s="39">
        <v>7.87</v>
      </c>
      <c r="AA127" s="96">
        <v>2</v>
      </c>
      <c r="AB127" s="39">
        <v>7.88</v>
      </c>
      <c r="AC127" s="39">
        <v>14.25</v>
      </c>
      <c r="AD127" s="96">
        <v>3</v>
      </c>
    </row>
    <row r="128" spans="2:30" ht="15.75" customHeight="1">
      <c r="B128" s="18"/>
      <c r="C128" s="18"/>
      <c r="D128" s="18"/>
      <c r="E128" s="69"/>
      <c r="F128" s="70"/>
      <c r="G128" s="70"/>
      <c r="H128" s="69"/>
      <c r="I128" s="69"/>
      <c r="J128" s="69"/>
      <c r="K128" s="71"/>
      <c r="L128" s="101"/>
      <c r="M128" s="98"/>
      <c r="N128" s="17"/>
      <c r="O128" s="17"/>
      <c r="P128" s="17"/>
      <c r="U128" s="39">
        <v>490</v>
      </c>
      <c r="V128" s="39">
        <v>2.5</v>
      </c>
      <c r="W128" s="39">
        <v>3.99</v>
      </c>
      <c r="X128" s="96">
        <v>1</v>
      </c>
      <c r="Y128" s="39">
        <v>4</v>
      </c>
      <c r="Z128" s="39">
        <v>7.87</v>
      </c>
      <c r="AA128" s="96">
        <v>2</v>
      </c>
      <c r="AB128" s="39">
        <v>7.88</v>
      </c>
      <c r="AC128" s="39">
        <v>14.5</v>
      </c>
      <c r="AD128" s="96">
        <v>3</v>
      </c>
    </row>
    <row r="129" spans="2:30" ht="15.75" customHeight="1">
      <c r="M129" s="95"/>
      <c r="N129" s="17"/>
      <c r="O129" s="17"/>
      <c r="P129" s="17"/>
      <c r="U129" s="39">
        <v>495</v>
      </c>
      <c r="V129" s="39">
        <v>2.5</v>
      </c>
      <c r="W129" s="39">
        <v>3.99</v>
      </c>
      <c r="X129" s="96">
        <v>1</v>
      </c>
      <c r="Y129" s="39">
        <v>4</v>
      </c>
      <c r="Z129" s="39">
        <v>7.62</v>
      </c>
      <c r="AA129" s="96">
        <v>2</v>
      </c>
      <c r="AB129" s="39">
        <v>7.63</v>
      </c>
      <c r="AC129" s="39">
        <v>14.5</v>
      </c>
      <c r="AD129" s="96">
        <v>3</v>
      </c>
    </row>
    <row r="130" spans="2:30" ht="15.75" customHeight="1">
      <c r="M130" s="55"/>
      <c r="N130" s="17"/>
      <c r="O130" s="17"/>
      <c r="P130" s="17"/>
      <c r="U130" s="39">
        <v>500</v>
      </c>
      <c r="V130" s="39">
        <v>2.5</v>
      </c>
      <c r="W130" s="39">
        <v>3.87</v>
      </c>
      <c r="X130" s="96">
        <v>1</v>
      </c>
      <c r="Y130" s="39">
        <v>3.88</v>
      </c>
      <c r="Z130" s="39">
        <v>7.62</v>
      </c>
      <c r="AA130" s="96">
        <v>2</v>
      </c>
      <c r="AB130" s="39">
        <v>7.63</v>
      </c>
      <c r="AC130" s="39">
        <v>14.75</v>
      </c>
      <c r="AD130" s="96">
        <v>3</v>
      </c>
    </row>
    <row r="131" spans="2:30" ht="15.75" customHeight="1">
      <c r="M131" s="55"/>
      <c r="N131" s="17"/>
      <c r="O131" s="17"/>
      <c r="P131" s="17"/>
      <c r="U131" s="39">
        <v>505</v>
      </c>
      <c r="V131" s="39">
        <v>2.5</v>
      </c>
      <c r="W131" s="39">
        <v>3.74</v>
      </c>
      <c r="X131" s="96">
        <v>1</v>
      </c>
      <c r="Y131" s="39">
        <v>3.75</v>
      </c>
      <c r="Z131" s="39">
        <v>7.62</v>
      </c>
      <c r="AA131" s="96">
        <v>2</v>
      </c>
      <c r="AB131" s="39">
        <v>7.63</v>
      </c>
      <c r="AC131" s="39">
        <v>14.75</v>
      </c>
      <c r="AD131" s="96">
        <v>3</v>
      </c>
    </row>
    <row r="132" spans="2:30" ht="15.75" customHeight="1">
      <c r="M132" s="55"/>
      <c r="N132" s="17"/>
      <c r="O132" s="17"/>
      <c r="P132" s="17"/>
      <c r="U132" s="39">
        <v>510</v>
      </c>
      <c r="V132" s="39">
        <v>2.5</v>
      </c>
      <c r="W132" s="39">
        <v>3.74</v>
      </c>
      <c r="X132" s="96">
        <v>1</v>
      </c>
      <c r="Y132" s="39">
        <v>3.75</v>
      </c>
      <c r="Z132" s="39">
        <v>7.62</v>
      </c>
      <c r="AA132" s="96">
        <v>2</v>
      </c>
      <c r="AB132" s="39">
        <v>7.63</v>
      </c>
      <c r="AC132" s="39">
        <v>14.75</v>
      </c>
      <c r="AD132" s="96">
        <v>3</v>
      </c>
    </row>
    <row r="133" spans="2:30" ht="15.75" customHeight="1">
      <c r="M133" s="55"/>
      <c r="N133" s="17"/>
      <c r="O133" s="17"/>
      <c r="P133" s="17"/>
      <c r="U133" s="39">
        <v>515</v>
      </c>
      <c r="V133" s="39">
        <v>2.5</v>
      </c>
      <c r="W133" s="39">
        <v>3.74</v>
      </c>
      <c r="X133" s="96">
        <v>1</v>
      </c>
      <c r="Y133" s="39">
        <v>3.75</v>
      </c>
      <c r="Z133" s="39">
        <v>7.37</v>
      </c>
      <c r="AA133" s="96">
        <v>2</v>
      </c>
      <c r="AB133" s="39">
        <v>7.38</v>
      </c>
      <c r="AC133" s="39">
        <v>14.75</v>
      </c>
      <c r="AD133" s="96">
        <v>3</v>
      </c>
    </row>
    <row r="134" spans="2:30" ht="15.75" customHeight="1">
      <c r="M134" s="55"/>
      <c r="N134" s="17"/>
      <c r="O134" s="17"/>
      <c r="P134" s="17"/>
      <c r="Q134" s="102"/>
      <c r="U134" s="39">
        <v>520</v>
      </c>
      <c r="V134" s="39">
        <v>2.5</v>
      </c>
      <c r="W134" s="39">
        <v>3.74</v>
      </c>
      <c r="X134" s="96">
        <v>1</v>
      </c>
      <c r="Y134" s="39">
        <v>3.75</v>
      </c>
      <c r="Z134" s="39">
        <v>7.37</v>
      </c>
      <c r="AA134" s="96">
        <v>2</v>
      </c>
      <c r="AB134" s="39">
        <v>7.38</v>
      </c>
      <c r="AC134" s="39">
        <v>15</v>
      </c>
      <c r="AD134" s="96">
        <v>3</v>
      </c>
    </row>
    <row r="135" spans="2:30" ht="15.75" customHeight="1">
      <c r="M135" s="55"/>
      <c r="N135" s="17"/>
      <c r="O135" s="17"/>
      <c r="P135" s="17"/>
      <c r="U135" s="39">
        <v>525</v>
      </c>
      <c r="V135" s="39">
        <v>2.5</v>
      </c>
      <c r="W135" s="39">
        <v>3.62</v>
      </c>
      <c r="X135" s="96">
        <v>1</v>
      </c>
      <c r="Y135" s="39">
        <v>3.63</v>
      </c>
      <c r="Z135" s="39">
        <v>7.37</v>
      </c>
      <c r="AA135" s="96">
        <v>2</v>
      </c>
      <c r="AB135" s="39">
        <v>7.38</v>
      </c>
      <c r="AC135" s="39">
        <v>15</v>
      </c>
      <c r="AD135" s="96">
        <v>3</v>
      </c>
    </row>
    <row r="136" spans="2:30" ht="15.75" customHeight="1">
      <c r="M136" s="55"/>
      <c r="N136" s="17"/>
      <c r="O136" s="17"/>
      <c r="P136" s="17"/>
      <c r="U136" s="39">
        <v>526</v>
      </c>
      <c r="V136" s="39">
        <v>3</v>
      </c>
      <c r="W136" s="39">
        <v>6.49</v>
      </c>
      <c r="X136" s="96">
        <v>4</v>
      </c>
      <c r="Y136" s="39">
        <v>6.5</v>
      </c>
      <c r="Z136" s="39">
        <v>12.49</v>
      </c>
      <c r="AA136" s="96">
        <v>5</v>
      </c>
      <c r="AB136" s="39">
        <v>12.5</v>
      </c>
      <c r="AC136" s="39">
        <v>16.5</v>
      </c>
      <c r="AD136" s="96">
        <v>6</v>
      </c>
    </row>
    <row r="137" spans="2:30" ht="15.75" customHeight="1">
      <c r="M137" s="95"/>
      <c r="N137" s="17"/>
      <c r="O137" s="17"/>
      <c r="P137" s="17"/>
      <c r="U137" s="39">
        <v>530</v>
      </c>
      <c r="V137" s="39">
        <v>3</v>
      </c>
      <c r="W137" s="39">
        <v>6.49</v>
      </c>
      <c r="X137" s="96">
        <v>4</v>
      </c>
      <c r="Y137" s="39">
        <v>6.5</v>
      </c>
      <c r="Z137" s="39">
        <v>12.24</v>
      </c>
      <c r="AA137" s="96">
        <v>5</v>
      </c>
      <c r="AB137" s="39">
        <v>12.25</v>
      </c>
      <c r="AC137" s="39">
        <v>16.75</v>
      </c>
      <c r="AD137" s="96">
        <v>6</v>
      </c>
    </row>
    <row r="138" spans="2:30" ht="15.75" customHeight="1">
      <c r="M138" s="95"/>
      <c r="N138" s="17"/>
      <c r="O138" s="17"/>
      <c r="P138" s="17"/>
      <c r="U138" s="39">
        <v>535</v>
      </c>
      <c r="V138" s="39">
        <v>3</v>
      </c>
      <c r="W138" s="39">
        <v>6.49</v>
      </c>
      <c r="X138" s="96">
        <v>4</v>
      </c>
      <c r="Y138" s="39">
        <v>6.5</v>
      </c>
      <c r="Z138" s="39">
        <v>12.24</v>
      </c>
      <c r="AA138" s="96">
        <v>5</v>
      </c>
      <c r="AB138" s="39">
        <v>12.25</v>
      </c>
      <c r="AC138" s="39">
        <v>16.75</v>
      </c>
      <c r="AD138" s="96">
        <v>6</v>
      </c>
    </row>
    <row r="139" spans="2:30" ht="15.75" customHeight="1">
      <c r="M139" s="95"/>
      <c r="N139" s="17"/>
      <c r="O139" s="17"/>
      <c r="P139" s="17"/>
      <c r="U139" s="39">
        <v>540</v>
      </c>
      <c r="V139" s="39">
        <v>3</v>
      </c>
      <c r="W139" s="39">
        <v>6.24</v>
      </c>
      <c r="X139" s="96">
        <v>4</v>
      </c>
      <c r="Y139" s="39">
        <v>6.25</v>
      </c>
      <c r="Z139" s="39">
        <v>12.24</v>
      </c>
      <c r="AA139" s="96">
        <v>5</v>
      </c>
      <c r="AB139" s="39">
        <v>12.25</v>
      </c>
      <c r="AC139" s="39">
        <v>17</v>
      </c>
      <c r="AD139" s="96">
        <v>6</v>
      </c>
    </row>
    <row r="140" spans="2:30" ht="15.75" customHeight="1">
      <c r="M140" s="95"/>
      <c r="N140" s="17"/>
      <c r="O140" s="17"/>
      <c r="P140" s="17"/>
      <c r="U140" s="39">
        <v>545</v>
      </c>
      <c r="V140" s="39">
        <v>3</v>
      </c>
      <c r="W140" s="39">
        <v>6.24</v>
      </c>
      <c r="X140" s="96">
        <v>4</v>
      </c>
      <c r="Y140" s="39">
        <v>6.25</v>
      </c>
      <c r="Z140" s="39">
        <v>11.99</v>
      </c>
      <c r="AA140" s="96">
        <v>5</v>
      </c>
      <c r="AB140" s="39">
        <v>12</v>
      </c>
      <c r="AC140" s="39">
        <v>17.25</v>
      </c>
      <c r="AD140" s="96">
        <v>6</v>
      </c>
    </row>
    <row r="141" spans="2:30" ht="15.75" customHeight="1">
      <c r="M141" s="95"/>
      <c r="N141" s="17"/>
      <c r="O141" s="17"/>
      <c r="P141" s="17"/>
      <c r="U141" s="39">
        <v>550</v>
      </c>
      <c r="V141" s="39">
        <v>3</v>
      </c>
      <c r="W141" s="39">
        <v>6.24</v>
      </c>
      <c r="X141" s="96">
        <v>4</v>
      </c>
      <c r="Y141" s="39">
        <v>6.25</v>
      </c>
      <c r="Z141" s="39">
        <v>11.99</v>
      </c>
      <c r="AA141" s="96">
        <v>5</v>
      </c>
      <c r="AB141" s="39">
        <v>12</v>
      </c>
      <c r="AC141" s="39">
        <v>17.25</v>
      </c>
      <c r="AD141" s="96">
        <v>6</v>
      </c>
    </row>
    <row r="142" spans="2:30" ht="15.75" customHeight="1">
      <c r="B142" s="18"/>
      <c r="C142" s="18"/>
      <c r="D142" s="18"/>
      <c r="E142" s="69"/>
      <c r="F142" s="70"/>
      <c r="G142" s="70"/>
      <c r="H142" s="69"/>
      <c r="I142" s="69"/>
      <c r="J142" s="71"/>
      <c r="K142" s="103"/>
      <c r="L142" s="104"/>
      <c r="M142" s="95"/>
      <c r="N142" s="17"/>
      <c r="O142" s="17"/>
      <c r="P142" s="17"/>
      <c r="U142" s="39">
        <v>555</v>
      </c>
      <c r="V142" s="39">
        <v>3</v>
      </c>
      <c r="W142" s="39">
        <v>6.24</v>
      </c>
      <c r="X142" s="96">
        <v>4</v>
      </c>
      <c r="Y142" s="39">
        <v>6.25</v>
      </c>
      <c r="Z142" s="39">
        <v>11.99</v>
      </c>
      <c r="AA142" s="96">
        <v>5</v>
      </c>
      <c r="AB142" s="39">
        <v>12</v>
      </c>
      <c r="AC142" s="39">
        <v>17.5</v>
      </c>
      <c r="AD142" s="96">
        <v>6</v>
      </c>
    </row>
    <row r="143" spans="2:30" ht="15.75" customHeight="1">
      <c r="B143" s="18"/>
      <c r="C143" s="18"/>
      <c r="D143" s="18"/>
      <c r="E143" s="69"/>
      <c r="F143" s="70"/>
      <c r="G143" s="70"/>
      <c r="H143" s="69"/>
      <c r="I143" s="69"/>
      <c r="J143" s="71"/>
      <c r="K143" s="103"/>
      <c r="L143" s="104"/>
      <c r="M143" s="95"/>
      <c r="N143" s="17"/>
      <c r="O143" s="17"/>
      <c r="P143" s="17"/>
      <c r="U143" s="39">
        <v>560</v>
      </c>
      <c r="V143" s="39">
        <v>3</v>
      </c>
      <c r="W143" s="39">
        <v>6.24</v>
      </c>
      <c r="X143" s="96">
        <v>4</v>
      </c>
      <c r="Y143" s="39">
        <v>6.25</v>
      </c>
      <c r="Z143" s="39">
        <v>11.74</v>
      </c>
      <c r="AA143" s="96">
        <v>5</v>
      </c>
      <c r="AB143" s="39">
        <v>11.75</v>
      </c>
      <c r="AC143" s="39">
        <v>17.75</v>
      </c>
      <c r="AD143" s="96">
        <v>6</v>
      </c>
    </row>
    <row r="144" spans="2:30" ht="15.75" customHeight="1">
      <c r="B144" s="18"/>
      <c r="C144" s="18"/>
      <c r="D144" s="18"/>
      <c r="E144" s="69"/>
      <c r="F144" s="70"/>
      <c r="G144" s="70"/>
      <c r="H144" s="69"/>
      <c r="I144" s="69"/>
      <c r="J144" s="71"/>
      <c r="K144" s="103"/>
      <c r="L144" s="104"/>
      <c r="M144" s="95"/>
      <c r="N144" s="17"/>
      <c r="O144" s="17"/>
      <c r="P144" s="17"/>
      <c r="U144" s="39">
        <v>565</v>
      </c>
      <c r="V144" s="39">
        <v>3</v>
      </c>
      <c r="W144" s="39">
        <v>5.99</v>
      </c>
      <c r="X144" s="96">
        <v>4</v>
      </c>
      <c r="Y144" s="39">
        <v>6</v>
      </c>
      <c r="Z144" s="39">
        <v>11.74</v>
      </c>
      <c r="AA144" s="96">
        <v>5</v>
      </c>
      <c r="AB144" s="39">
        <v>11.75</v>
      </c>
      <c r="AC144" s="39">
        <v>17.75</v>
      </c>
      <c r="AD144" s="96">
        <v>6</v>
      </c>
    </row>
    <row r="145" spans="2:30" ht="15.75" customHeight="1">
      <c r="B145" s="18"/>
      <c r="C145" s="18"/>
      <c r="D145" s="18"/>
      <c r="E145" s="69"/>
      <c r="F145" s="70"/>
      <c r="G145" s="70"/>
      <c r="H145" s="69"/>
      <c r="I145" s="69"/>
      <c r="J145" s="71"/>
      <c r="K145" s="103"/>
      <c r="L145" s="104"/>
      <c r="M145" s="95"/>
      <c r="N145" s="17"/>
      <c r="O145" s="17"/>
      <c r="P145" s="17"/>
      <c r="U145" s="39">
        <v>570</v>
      </c>
      <c r="V145" s="39">
        <v>3</v>
      </c>
      <c r="W145" s="39">
        <v>5.99</v>
      </c>
      <c r="X145" s="96">
        <v>4</v>
      </c>
      <c r="Y145" s="39">
        <v>6</v>
      </c>
      <c r="Z145" s="39">
        <v>11.74</v>
      </c>
      <c r="AA145" s="96">
        <v>5</v>
      </c>
      <c r="AB145" s="39">
        <v>11.75</v>
      </c>
      <c r="AC145" s="39">
        <v>17.75</v>
      </c>
      <c r="AD145" s="96">
        <v>6</v>
      </c>
    </row>
    <row r="146" spans="2:30" ht="15.75" customHeight="1">
      <c r="B146" s="18"/>
      <c r="C146" s="18"/>
      <c r="D146" s="18"/>
      <c r="E146" s="69"/>
      <c r="F146" s="70"/>
      <c r="G146" s="70"/>
      <c r="H146" s="69"/>
      <c r="I146" s="69"/>
      <c r="J146" s="69"/>
      <c r="K146" s="103"/>
      <c r="L146" s="104"/>
      <c r="M146" s="95"/>
      <c r="N146" s="17"/>
      <c r="O146" s="17"/>
      <c r="P146" s="17"/>
      <c r="U146" s="39">
        <v>575</v>
      </c>
      <c r="V146" s="39">
        <v>3</v>
      </c>
      <c r="W146" s="39">
        <v>5.99</v>
      </c>
      <c r="X146" s="96">
        <v>4</v>
      </c>
      <c r="Y146" s="39">
        <v>6</v>
      </c>
      <c r="Z146" s="39">
        <v>11.49</v>
      </c>
      <c r="AA146" s="96">
        <v>5</v>
      </c>
      <c r="AB146" s="39">
        <v>11.5</v>
      </c>
      <c r="AC146" s="39">
        <v>18</v>
      </c>
      <c r="AD146" s="96">
        <v>6</v>
      </c>
    </row>
    <row r="147" spans="2:30" ht="15.75" customHeight="1">
      <c r="B147" s="18"/>
      <c r="C147" s="18"/>
      <c r="D147" s="18"/>
      <c r="E147" s="69"/>
      <c r="F147" s="70"/>
      <c r="G147" s="70"/>
      <c r="H147" s="69"/>
      <c r="I147" s="69"/>
      <c r="J147" s="71"/>
      <c r="K147" s="103"/>
      <c r="L147" s="104"/>
      <c r="M147" s="95"/>
      <c r="N147" s="17"/>
      <c r="O147" s="17"/>
      <c r="P147" s="17"/>
      <c r="U147" s="39">
        <v>580</v>
      </c>
      <c r="V147" s="39">
        <v>3</v>
      </c>
      <c r="W147" s="39">
        <v>5.99</v>
      </c>
      <c r="X147" s="96">
        <v>4</v>
      </c>
      <c r="Y147" s="39">
        <v>6</v>
      </c>
      <c r="Z147" s="39">
        <v>11.49</v>
      </c>
      <c r="AA147" s="96">
        <v>5</v>
      </c>
      <c r="AB147" s="39">
        <v>11.5</v>
      </c>
      <c r="AC147" s="39">
        <v>18</v>
      </c>
      <c r="AD147" s="96">
        <v>6</v>
      </c>
    </row>
    <row r="148" spans="2:30" ht="15.75" customHeight="1">
      <c r="B148" s="18"/>
      <c r="C148" s="18"/>
      <c r="D148" s="18"/>
      <c r="E148" s="69"/>
      <c r="F148" s="70"/>
      <c r="G148" s="70"/>
      <c r="H148" s="69"/>
      <c r="I148" s="69"/>
      <c r="J148" s="71"/>
      <c r="K148" s="103"/>
      <c r="L148" s="104"/>
      <c r="M148" s="95"/>
      <c r="N148" s="17"/>
      <c r="O148" s="17"/>
      <c r="P148" s="17"/>
      <c r="U148" s="39">
        <v>585</v>
      </c>
      <c r="V148" s="39">
        <v>3</v>
      </c>
      <c r="W148" s="39">
        <v>5.99</v>
      </c>
      <c r="X148" s="96">
        <v>4</v>
      </c>
      <c r="Y148" s="39">
        <v>6</v>
      </c>
      <c r="Z148" s="39">
        <v>11.37</v>
      </c>
      <c r="AA148" s="96">
        <v>5</v>
      </c>
      <c r="AB148" s="39">
        <v>11.38</v>
      </c>
      <c r="AC148" s="39">
        <v>18.25</v>
      </c>
      <c r="AD148" s="96">
        <v>6</v>
      </c>
    </row>
    <row r="149" spans="2:30" ht="15.75" customHeight="1">
      <c r="B149" s="18"/>
      <c r="C149" s="18"/>
      <c r="D149" s="18"/>
      <c r="E149" s="69"/>
      <c r="F149" s="70"/>
      <c r="G149" s="70"/>
      <c r="H149" s="69"/>
      <c r="I149" s="69"/>
      <c r="J149" s="71"/>
      <c r="K149" s="103"/>
      <c r="L149" s="104"/>
      <c r="M149" s="95"/>
      <c r="N149" s="17"/>
      <c r="O149" s="17"/>
      <c r="P149" s="17"/>
      <c r="U149" s="39">
        <v>590</v>
      </c>
      <c r="V149" s="39">
        <v>3</v>
      </c>
      <c r="W149" s="39">
        <v>5.74</v>
      </c>
      <c r="X149" s="96">
        <v>4</v>
      </c>
      <c r="Y149" s="39">
        <v>5.75</v>
      </c>
      <c r="Z149" s="39">
        <v>11.37</v>
      </c>
      <c r="AA149" s="96">
        <v>5</v>
      </c>
      <c r="AB149" s="39">
        <v>11.38</v>
      </c>
      <c r="AC149" s="39">
        <v>18.25</v>
      </c>
      <c r="AD149" s="96">
        <v>6</v>
      </c>
    </row>
    <row r="150" spans="2:30" ht="15.75" customHeight="1">
      <c r="B150" s="18"/>
      <c r="C150" s="18"/>
      <c r="D150" s="18"/>
      <c r="E150" s="69"/>
      <c r="F150" s="70"/>
      <c r="G150" s="70"/>
      <c r="H150" s="69"/>
      <c r="I150" s="69"/>
      <c r="J150" s="71"/>
      <c r="K150" s="103"/>
      <c r="L150" s="104"/>
      <c r="M150" s="95"/>
      <c r="N150" s="17"/>
      <c r="O150" s="17"/>
      <c r="P150" s="17"/>
      <c r="U150" s="39">
        <v>595</v>
      </c>
      <c r="V150" s="39">
        <v>3</v>
      </c>
      <c r="W150" s="39">
        <v>5.74</v>
      </c>
      <c r="X150" s="96">
        <v>4</v>
      </c>
      <c r="Y150" s="39">
        <v>5.75</v>
      </c>
      <c r="Z150" s="39">
        <v>11.12</v>
      </c>
      <c r="AA150" s="96">
        <v>5</v>
      </c>
      <c r="AB150" s="39">
        <v>11.13</v>
      </c>
      <c r="AC150" s="39">
        <v>18.5</v>
      </c>
      <c r="AD150" s="96">
        <v>6</v>
      </c>
    </row>
    <row r="151" spans="2:30" ht="15.75" customHeight="1">
      <c r="B151" s="18"/>
      <c r="C151" s="18"/>
      <c r="D151" s="18"/>
      <c r="E151" s="69"/>
      <c r="F151" s="70"/>
      <c r="G151" s="70"/>
      <c r="H151" s="69"/>
      <c r="I151" s="69"/>
      <c r="J151" s="69"/>
      <c r="K151" s="103"/>
      <c r="L151" s="104"/>
      <c r="M151" s="95"/>
      <c r="N151" s="17"/>
      <c r="O151" s="17"/>
      <c r="P151" s="17"/>
      <c r="U151" s="39">
        <v>600</v>
      </c>
      <c r="V151" s="39">
        <v>3</v>
      </c>
      <c r="W151" s="39">
        <v>5.74</v>
      </c>
      <c r="X151" s="96">
        <v>4</v>
      </c>
      <c r="Y151" s="39">
        <v>5.75</v>
      </c>
      <c r="Z151" s="39">
        <v>11.12</v>
      </c>
      <c r="AA151" s="96">
        <v>5</v>
      </c>
      <c r="AB151" s="39">
        <v>11.13</v>
      </c>
      <c r="AC151" s="39">
        <v>18.5</v>
      </c>
      <c r="AD151" s="96">
        <v>6</v>
      </c>
    </row>
    <row r="152" spans="2:30" ht="15.75" customHeight="1">
      <c r="B152" s="18"/>
      <c r="C152" s="18"/>
      <c r="D152" s="18"/>
      <c r="E152" s="69"/>
      <c r="F152" s="70"/>
      <c r="G152" s="70"/>
      <c r="H152" s="69"/>
      <c r="I152" s="69"/>
      <c r="J152" s="71"/>
      <c r="K152" s="103"/>
      <c r="L152" s="104"/>
      <c r="M152" s="95"/>
      <c r="N152" s="17"/>
      <c r="O152" s="17"/>
      <c r="P152" s="17"/>
      <c r="U152" s="39">
        <v>605</v>
      </c>
      <c r="V152" s="39">
        <v>3</v>
      </c>
      <c r="W152" s="39">
        <v>5.74</v>
      </c>
      <c r="X152" s="96">
        <v>4</v>
      </c>
      <c r="Y152" s="39">
        <v>5.75</v>
      </c>
      <c r="Z152" s="39">
        <v>11.12</v>
      </c>
      <c r="AA152" s="96">
        <v>5</v>
      </c>
      <c r="AB152" s="39">
        <v>11.13</v>
      </c>
      <c r="AC152" s="39">
        <v>18.5</v>
      </c>
      <c r="AD152" s="96">
        <v>6</v>
      </c>
    </row>
    <row r="153" spans="2:30" ht="15.75" customHeight="1">
      <c r="B153" s="18"/>
      <c r="C153" s="18"/>
      <c r="D153" s="18"/>
      <c r="E153" s="69"/>
      <c r="F153" s="70"/>
      <c r="G153" s="70"/>
      <c r="H153" s="69"/>
      <c r="I153" s="69"/>
      <c r="J153" s="71"/>
      <c r="K153" s="103"/>
      <c r="L153" s="104"/>
      <c r="M153" s="95"/>
      <c r="N153" s="17"/>
      <c r="O153" s="17"/>
      <c r="P153" s="17"/>
      <c r="U153" s="39">
        <v>610</v>
      </c>
      <c r="V153" s="39">
        <v>3</v>
      </c>
      <c r="W153" s="39">
        <v>5.74</v>
      </c>
      <c r="X153" s="96">
        <v>4</v>
      </c>
      <c r="Y153" s="39">
        <v>5.75</v>
      </c>
      <c r="Z153" s="39">
        <v>11.12</v>
      </c>
      <c r="AA153" s="96">
        <v>5</v>
      </c>
      <c r="AB153" s="39">
        <v>11.13</v>
      </c>
      <c r="AC153" s="39">
        <v>18.5</v>
      </c>
      <c r="AD153" s="96">
        <v>6</v>
      </c>
    </row>
    <row r="154" spans="2:30" ht="15.75" customHeight="1">
      <c r="B154" s="18"/>
      <c r="C154" s="18"/>
      <c r="D154" s="18"/>
      <c r="E154" s="69"/>
      <c r="F154" s="70"/>
      <c r="G154" s="70"/>
      <c r="H154" s="69"/>
      <c r="I154" s="69"/>
      <c r="J154" s="71"/>
      <c r="K154" s="103"/>
      <c r="L154" s="104"/>
      <c r="M154" s="95"/>
      <c r="N154" s="17"/>
      <c r="O154" s="17"/>
      <c r="P154" s="17"/>
      <c r="U154" s="39">
        <v>615</v>
      </c>
      <c r="V154" s="39">
        <v>3</v>
      </c>
      <c r="W154" s="39">
        <v>5.62</v>
      </c>
      <c r="X154" s="96">
        <v>4</v>
      </c>
      <c r="Y154" s="39">
        <v>5.63</v>
      </c>
      <c r="Z154" s="39">
        <v>10.87</v>
      </c>
      <c r="AA154" s="96">
        <v>5</v>
      </c>
      <c r="AB154" s="39">
        <v>10.88</v>
      </c>
      <c r="AC154" s="39">
        <v>18.75</v>
      </c>
      <c r="AD154" s="96">
        <v>6</v>
      </c>
    </row>
    <row r="155" spans="2:30" ht="15.75" customHeight="1">
      <c r="B155" s="18"/>
      <c r="C155" s="18"/>
      <c r="D155" s="18"/>
      <c r="E155" s="69"/>
      <c r="F155" s="70"/>
      <c r="G155" s="70"/>
      <c r="H155" s="69"/>
      <c r="I155" s="69"/>
      <c r="J155" s="71"/>
      <c r="K155" s="103"/>
      <c r="L155" s="104"/>
      <c r="M155" s="95"/>
      <c r="N155" s="17"/>
      <c r="O155" s="17"/>
      <c r="P155" s="17"/>
      <c r="U155" s="39">
        <v>620</v>
      </c>
      <c r="V155" s="39">
        <v>3</v>
      </c>
      <c r="W155" s="39">
        <v>5.62</v>
      </c>
      <c r="X155" s="96">
        <v>4</v>
      </c>
      <c r="Y155" s="39">
        <v>5.63</v>
      </c>
      <c r="Z155" s="39">
        <v>10.87</v>
      </c>
      <c r="AA155" s="96">
        <v>5</v>
      </c>
      <c r="AB155" s="39">
        <v>10.88</v>
      </c>
      <c r="AC155" s="39">
        <v>18.75</v>
      </c>
      <c r="AD155" s="96">
        <v>6</v>
      </c>
    </row>
    <row r="156" spans="2:30" ht="15.75" customHeight="1">
      <c r="B156" s="18"/>
      <c r="C156" s="18"/>
      <c r="D156" s="18"/>
      <c r="E156" s="69"/>
      <c r="F156" s="70"/>
      <c r="G156" s="70"/>
      <c r="H156" s="69"/>
      <c r="I156" s="69"/>
      <c r="J156" s="69"/>
      <c r="K156" s="103"/>
      <c r="L156" s="104"/>
      <c r="M156" s="95"/>
      <c r="N156" s="17"/>
      <c r="O156" s="17"/>
      <c r="P156" s="17"/>
      <c r="U156" s="39">
        <v>625</v>
      </c>
      <c r="V156" s="39">
        <v>3</v>
      </c>
      <c r="W156" s="39">
        <v>5.62</v>
      </c>
      <c r="X156" s="96">
        <v>4</v>
      </c>
      <c r="Y156" s="39">
        <v>5.63</v>
      </c>
      <c r="Z156" s="39">
        <v>10.87</v>
      </c>
      <c r="AA156" s="96">
        <v>5</v>
      </c>
      <c r="AB156" s="39">
        <v>10.88</v>
      </c>
      <c r="AC156" s="39">
        <v>18.75</v>
      </c>
      <c r="AD156" s="96">
        <v>6</v>
      </c>
    </row>
    <row r="157" spans="2:30" ht="15.75" customHeight="1">
      <c r="B157" s="18"/>
      <c r="C157" s="105"/>
      <c r="D157" s="105"/>
      <c r="E157" s="69"/>
      <c r="F157" s="70"/>
      <c r="G157" s="70"/>
      <c r="H157" s="69"/>
      <c r="I157" s="69"/>
      <c r="J157" s="71"/>
      <c r="K157" s="103"/>
      <c r="L157" s="104"/>
      <c r="M157" s="95"/>
      <c r="N157" s="17"/>
      <c r="O157" s="17"/>
      <c r="P157" s="17"/>
      <c r="U157" s="39">
        <v>630</v>
      </c>
      <c r="V157" s="39">
        <v>3</v>
      </c>
      <c r="W157" s="39">
        <v>5.62</v>
      </c>
      <c r="X157" s="96">
        <v>4</v>
      </c>
      <c r="Y157" s="39">
        <v>5.63</v>
      </c>
      <c r="Z157" s="39">
        <v>10.87</v>
      </c>
      <c r="AA157" s="96">
        <v>5</v>
      </c>
      <c r="AB157" s="39">
        <v>10.88</v>
      </c>
      <c r="AC157" s="39">
        <v>18.75</v>
      </c>
      <c r="AD157" s="96">
        <v>6</v>
      </c>
    </row>
    <row r="158" spans="2:30" ht="15.75" customHeight="1">
      <c r="B158" s="18"/>
      <c r="C158" s="18"/>
      <c r="D158" s="18"/>
      <c r="E158" s="69"/>
      <c r="F158" s="70"/>
      <c r="G158" s="70"/>
      <c r="H158" s="69"/>
      <c r="I158" s="69"/>
      <c r="J158" s="71"/>
      <c r="K158" s="103"/>
      <c r="L158" s="104"/>
      <c r="M158" s="95"/>
      <c r="N158" s="17"/>
      <c r="O158" s="17"/>
      <c r="P158" s="17"/>
      <c r="U158" s="39">
        <v>635</v>
      </c>
      <c r="V158" s="39">
        <v>3</v>
      </c>
      <c r="W158" s="39">
        <v>5.37</v>
      </c>
      <c r="X158" s="96">
        <v>4</v>
      </c>
      <c r="Y158" s="39">
        <v>5.38</v>
      </c>
      <c r="Z158" s="39">
        <v>10.87</v>
      </c>
      <c r="AA158" s="96">
        <v>5</v>
      </c>
      <c r="AB158" s="39">
        <v>10.88</v>
      </c>
      <c r="AC158" s="39">
        <v>18.75</v>
      </c>
      <c r="AD158" s="96">
        <v>6</v>
      </c>
    </row>
    <row r="159" spans="2:30" ht="15.75" customHeight="1">
      <c r="B159" s="18"/>
      <c r="C159" s="18"/>
      <c r="D159" s="18"/>
      <c r="E159" s="69"/>
      <c r="F159" s="70"/>
      <c r="G159" s="70"/>
      <c r="H159" s="69"/>
      <c r="I159" s="69"/>
      <c r="J159" s="71"/>
      <c r="K159" s="103"/>
      <c r="L159" s="104"/>
      <c r="M159" s="95"/>
      <c r="N159" s="17"/>
      <c r="O159" s="17"/>
      <c r="P159" s="17"/>
      <c r="U159" s="39">
        <v>640</v>
      </c>
      <c r="V159" s="39">
        <v>3</v>
      </c>
      <c r="W159" s="39">
        <v>5.37</v>
      </c>
      <c r="X159" s="96">
        <v>4</v>
      </c>
      <c r="Y159" s="39">
        <v>5.38</v>
      </c>
      <c r="Z159" s="39">
        <v>11.74</v>
      </c>
      <c r="AA159" s="96">
        <v>5</v>
      </c>
      <c r="AB159" s="39">
        <v>11.75</v>
      </c>
      <c r="AC159" s="39">
        <v>18.75</v>
      </c>
      <c r="AD159" s="96">
        <v>6</v>
      </c>
    </row>
    <row r="160" spans="2:30" ht="15.75" customHeight="1">
      <c r="B160" s="18"/>
      <c r="C160" s="18"/>
      <c r="D160" s="18"/>
      <c r="E160" s="69"/>
      <c r="F160" s="70"/>
      <c r="G160" s="70"/>
      <c r="H160" s="69"/>
      <c r="I160" s="69"/>
      <c r="J160" s="71"/>
      <c r="K160" s="103"/>
      <c r="L160" s="104"/>
      <c r="M160" s="95"/>
      <c r="N160" s="17"/>
      <c r="O160" s="17"/>
      <c r="P160" s="17"/>
      <c r="U160" s="39">
        <v>645</v>
      </c>
      <c r="V160" s="39">
        <v>3</v>
      </c>
      <c r="W160" s="39">
        <v>5.37</v>
      </c>
      <c r="X160" s="96">
        <v>4</v>
      </c>
      <c r="Y160" s="39">
        <v>5.38</v>
      </c>
      <c r="Z160" s="39">
        <v>10.62</v>
      </c>
      <c r="AA160" s="96">
        <v>5</v>
      </c>
      <c r="AB160" s="39">
        <v>10.63</v>
      </c>
      <c r="AC160" s="39">
        <v>18.75</v>
      </c>
      <c r="AD160" s="96">
        <v>6</v>
      </c>
    </row>
    <row r="161" spans="2:30" ht="15.75" customHeight="1">
      <c r="B161" s="18"/>
      <c r="C161" s="18"/>
      <c r="D161" s="18"/>
      <c r="E161" s="69"/>
      <c r="F161" s="70"/>
      <c r="G161" s="70"/>
      <c r="H161" s="69"/>
      <c r="I161" s="69"/>
      <c r="J161" s="69"/>
      <c r="K161" s="103"/>
      <c r="L161" s="104"/>
      <c r="M161" s="95"/>
      <c r="N161" s="17"/>
      <c r="O161" s="17"/>
      <c r="P161" s="17"/>
      <c r="U161" s="39">
        <v>650</v>
      </c>
      <c r="V161" s="39">
        <v>3</v>
      </c>
      <c r="W161" s="39">
        <v>5.37</v>
      </c>
      <c r="X161" s="96">
        <v>4</v>
      </c>
      <c r="Y161" s="39">
        <v>5.38</v>
      </c>
      <c r="Z161" s="39">
        <v>10.62</v>
      </c>
      <c r="AA161" s="96">
        <v>5</v>
      </c>
      <c r="AB161" s="39">
        <v>10.63</v>
      </c>
      <c r="AC161" s="39">
        <v>19</v>
      </c>
      <c r="AD161" s="96">
        <v>6</v>
      </c>
    </row>
    <row r="162" spans="2:30" ht="15.75" customHeight="1">
      <c r="B162" s="18"/>
      <c r="C162" s="18"/>
      <c r="D162" s="18"/>
      <c r="E162" s="69"/>
      <c r="F162" s="70"/>
      <c r="G162" s="70"/>
      <c r="H162" s="69"/>
      <c r="I162" s="69"/>
      <c r="J162" s="71"/>
      <c r="K162" s="103"/>
      <c r="L162" s="104"/>
      <c r="M162" s="95"/>
      <c r="N162" s="17"/>
      <c r="O162" s="17"/>
      <c r="P162" s="17"/>
      <c r="U162" s="39">
        <v>655</v>
      </c>
      <c r="V162" s="39">
        <v>3</v>
      </c>
      <c r="W162" s="39">
        <v>5.37</v>
      </c>
      <c r="X162" s="96">
        <v>4</v>
      </c>
      <c r="Y162" s="39">
        <v>5.38</v>
      </c>
      <c r="Z162" s="39">
        <v>10.62</v>
      </c>
      <c r="AA162" s="96">
        <v>5</v>
      </c>
      <c r="AB162" s="39">
        <v>10.63</v>
      </c>
      <c r="AC162" s="39">
        <v>19</v>
      </c>
      <c r="AD162" s="96">
        <v>6</v>
      </c>
    </row>
    <row r="163" spans="2:30" ht="15.75" customHeight="1">
      <c r="B163" s="18"/>
      <c r="C163" s="18"/>
      <c r="D163" s="18"/>
      <c r="E163" s="69"/>
      <c r="F163" s="70"/>
      <c r="G163" s="70"/>
      <c r="H163" s="69"/>
      <c r="I163" s="69"/>
      <c r="J163" s="71"/>
      <c r="K163" s="103"/>
      <c r="L163" s="104"/>
      <c r="M163" s="95"/>
      <c r="N163" s="17"/>
      <c r="O163" s="17"/>
      <c r="P163" s="17"/>
      <c r="U163" s="39">
        <v>660</v>
      </c>
      <c r="V163" s="39">
        <v>3</v>
      </c>
      <c r="W163" s="39">
        <v>5.37</v>
      </c>
      <c r="X163" s="96">
        <v>4</v>
      </c>
      <c r="Y163" s="39">
        <v>5.38</v>
      </c>
      <c r="Z163" s="39">
        <v>10.62</v>
      </c>
      <c r="AA163" s="96">
        <v>5</v>
      </c>
      <c r="AB163" s="39">
        <v>10.63</v>
      </c>
      <c r="AC163" s="39">
        <v>19</v>
      </c>
      <c r="AD163" s="96">
        <v>6</v>
      </c>
    </row>
    <row r="164" spans="2:30" ht="15.75" customHeight="1">
      <c r="B164" s="18"/>
      <c r="C164" s="18"/>
      <c r="D164" s="18"/>
      <c r="E164" s="69"/>
      <c r="F164" s="70"/>
      <c r="G164" s="70"/>
      <c r="H164" s="69"/>
      <c r="I164" s="69"/>
      <c r="J164" s="71"/>
      <c r="K164" s="103"/>
      <c r="L164" s="104"/>
      <c r="M164" s="95"/>
      <c r="N164" s="17"/>
      <c r="O164" s="17"/>
      <c r="P164" s="17"/>
      <c r="U164" s="39">
        <v>665</v>
      </c>
      <c r="V164" s="39">
        <v>3</v>
      </c>
      <c r="W164" s="39">
        <v>5.12</v>
      </c>
      <c r="X164" s="96">
        <v>4</v>
      </c>
      <c r="Y164" s="39">
        <v>5.13</v>
      </c>
      <c r="Z164" s="39">
        <v>10.37</v>
      </c>
      <c r="AA164" s="96">
        <v>5</v>
      </c>
      <c r="AB164" s="39">
        <v>10.38</v>
      </c>
      <c r="AC164" s="39">
        <v>19</v>
      </c>
      <c r="AD164" s="96">
        <v>6</v>
      </c>
    </row>
    <row r="165" spans="2:30" ht="15.75" customHeight="1">
      <c r="B165" s="18"/>
      <c r="C165" s="18"/>
      <c r="D165" s="18"/>
      <c r="E165" s="69"/>
      <c r="F165" s="70"/>
      <c r="G165" s="70"/>
      <c r="H165" s="69"/>
      <c r="I165" s="69"/>
      <c r="J165" s="71"/>
      <c r="K165" s="103"/>
      <c r="L165" s="104"/>
      <c r="M165" s="95"/>
      <c r="N165" s="17"/>
      <c r="O165" s="17"/>
      <c r="P165" s="17"/>
      <c r="U165" s="39">
        <v>670</v>
      </c>
      <c r="V165" s="39">
        <v>3</v>
      </c>
      <c r="W165" s="39">
        <v>5.12</v>
      </c>
      <c r="X165" s="96">
        <v>4</v>
      </c>
      <c r="Y165" s="39">
        <v>5.13</v>
      </c>
      <c r="Z165" s="39">
        <v>10.37</v>
      </c>
      <c r="AA165" s="96">
        <v>5</v>
      </c>
      <c r="AB165" s="39">
        <v>10.38</v>
      </c>
      <c r="AC165" s="39">
        <v>19</v>
      </c>
      <c r="AD165" s="96">
        <v>6</v>
      </c>
    </row>
    <row r="166" spans="2:30" ht="15.75" customHeight="1">
      <c r="B166" s="18"/>
      <c r="C166" s="18"/>
      <c r="D166" s="18"/>
      <c r="E166" s="69"/>
      <c r="F166" s="70"/>
      <c r="G166" s="70"/>
      <c r="H166" s="69"/>
      <c r="I166" s="69"/>
      <c r="J166" s="69"/>
      <c r="K166" s="103"/>
      <c r="L166" s="104"/>
      <c r="M166" s="95"/>
      <c r="N166" s="17"/>
      <c r="O166" s="17"/>
      <c r="P166" s="17"/>
      <c r="U166" s="39">
        <v>675</v>
      </c>
      <c r="V166" s="39">
        <v>3</v>
      </c>
      <c r="W166" s="39">
        <v>5.12</v>
      </c>
      <c r="X166" s="96">
        <v>4</v>
      </c>
      <c r="Y166" s="39">
        <v>5.13</v>
      </c>
      <c r="Z166" s="39">
        <v>10.37</v>
      </c>
      <c r="AA166" s="96">
        <v>5</v>
      </c>
      <c r="AB166" s="39">
        <v>10.38</v>
      </c>
      <c r="AC166" s="39">
        <v>19</v>
      </c>
      <c r="AD166" s="96">
        <v>6</v>
      </c>
    </row>
    <row r="167" spans="2:30" ht="15.75" customHeight="1">
      <c r="B167" s="18"/>
      <c r="C167" s="18"/>
      <c r="D167" s="18"/>
      <c r="E167" s="69"/>
      <c r="F167" s="70"/>
      <c r="G167" s="70"/>
      <c r="H167" s="69"/>
      <c r="I167" s="69"/>
      <c r="J167" s="71"/>
      <c r="K167" s="103"/>
      <c r="L167" s="104"/>
      <c r="M167" s="95"/>
      <c r="N167" s="17"/>
      <c r="O167" s="17"/>
      <c r="P167" s="17"/>
      <c r="U167" s="39">
        <v>676</v>
      </c>
      <c r="V167" s="39">
        <v>3.5</v>
      </c>
      <c r="W167" s="39">
        <v>7.49</v>
      </c>
      <c r="X167" s="96">
        <v>7</v>
      </c>
      <c r="Y167" s="39">
        <v>7.5</v>
      </c>
      <c r="Z167" s="39">
        <v>13.12</v>
      </c>
      <c r="AA167" s="96">
        <v>8</v>
      </c>
      <c r="AB167" s="39">
        <v>13.13</v>
      </c>
      <c r="AC167" s="39">
        <v>21.5</v>
      </c>
      <c r="AD167" s="96">
        <v>9</v>
      </c>
    </row>
    <row r="168" spans="2:30" ht="15.75" customHeight="1">
      <c r="B168" s="18"/>
      <c r="C168" s="18"/>
      <c r="D168" s="18"/>
      <c r="E168" s="69"/>
      <c r="F168" s="70"/>
      <c r="G168" s="70"/>
      <c r="H168" s="69"/>
      <c r="I168" s="69"/>
      <c r="J168" s="71"/>
      <c r="K168" s="103"/>
      <c r="L168" s="104"/>
      <c r="M168" s="95"/>
      <c r="N168" s="17"/>
      <c r="O168" s="17"/>
      <c r="P168" s="17"/>
      <c r="U168" s="39">
        <v>685</v>
      </c>
      <c r="V168" s="39">
        <v>3.5</v>
      </c>
      <c r="W168" s="39">
        <v>7.49</v>
      </c>
      <c r="X168" s="96">
        <v>7</v>
      </c>
      <c r="Y168" s="39">
        <v>7.5</v>
      </c>
      <c r="Z168" s="39">
        <v>12.99</v>
      </c>
      <c r="AA168" s="96">
        <v>8</v>
      </c>
      <c r="AB168" s="39">
        <v>13</v>
      </c>
      <c r="AC168" s="39">
        <v>21.5</v>
      </c>
      <c r="AD168" s="96">
        <v>9</v>
      </c>
    </row>
    <row r="169" spans="2:30" ht="15.75" customHeight="1">
      <c r="B169" s="18"/>
      <c r="C169" s="18"/>
      <c r="D169" s="18"/>
      <c r="E169" s="69"/>
      <c r="F169" s="70"/>
      <c r="G169" s="70"/>
      <c r="H169" s="69"/>
      <c r="I169" s="69"/>
      <c r="J169" s="71"/>
      <c r="K169" s="103"/>
      <c r="L169" s="104"/>
      <c r="M169" s="95"/>
      <c r="N169" s="17"/>
      <c r="O169" s="17"/>
      <c r="P169" s="17"/>
      <c r="U169" s="39">
        <v>690</v>
      </c>
      <c r="V169" s="39">
        <v>3.5</v>
      </c>
      <c r="W169" s="39">
        <v>7.24</v>
      </c>
      <c r="X169" s="96">
        <v>7</v>
      </c>
      <c r="Y169" s="39">
        <v>7.25</v>
      </c>
      <c r="Z169" s="39">
        <v>12.99</v>
      </c>
      <c r="AA169" s="96">
        <v>8</v>
      </c>
      <c r="AB169" s="39">
        <v>13</v>
      </c>
      <c r="AC169" s="39">
        <v>21.5</v>
      </c>
      <c r="AD169" s="96">
        <v>9</v>
      </c>
    </row>
    <row r="170" spans="2:30" ht="15.75" customHeight="1">
      <c r="B170" s="18"/>
      <c r="C170" s="18"/>
      <c r="D170" s="18"/>
      <c r="E170" s="69"/>
      <c r="F170" s="70"/>
      <c r="G170" s="70"/>
      <c r="H170" s="69"/>
      <c r="I170" s="69"/>
      <c r="J170" s="71"/>
      <c r="K170" s="103"/>
      <c r="L170" s="104"/>
      <c r="M170" s="95"/>
      <c r="N170" s="17"/>
      <c r="O170" s="17"/>
      <c r="P170" s="17"/>
      <c r="U170" s="39">
        <v>695</v>
      </c>
      <c r="V170" s="39">
        <v>3.5</v>
      </c>
      <c r="W170" s="39">
        <v>7.24</v>
      </c>
      <c r="X170" s="96">
        <v>7</v>
      </c>
      <c r="Y170" s="39">
        <v>7.25</v>
      </c>
      <c r="Z170" s="39">
        <v>12.87</v>
      </c>
      <c r="AA170" s="96">
        <v>8</v>
      </c>
      <c r="AB170" s="39">
        <v>12.88</v>
      </c>
      <c r="AC170" s="39">
        <v>21.5</v>
      </c>
      <c r="AD170" s="96">
        <v>9</v>
      </c>
    </row>
    <row r="171" spans="2:30" ht="15.75" customHeight="1">
      <c r="B171" s="18"/>
      <c r="C171" s="18"/>
      <c r="D171" s="18"/>
      <c r="E171" s="69"/>
      <c r="F171" s="70"/>
      <c r="G171" s="70"/>
      <c r="H171" s="69"/>
      <c r="I171" s="69"/>
      <c r="J171" s="69"/>
      <c r="K171" s="103"/>
      <c r="L171" s="104"/>
      <c r="M171" s="95"/>
      <c r="N171" s="17"/>
      <c r="O171" s="17"/>
      <c r="P171" s="17"/>
      <c r="U171" s="39">
        <v>700</v>
      </c>
      <c r="V171" s="39">
        <v>3.5</v>
      </c>
      <c r="W171" s="39">
        <v>7.24</v>
      </c>
      <c r="X171" s="96">
        <v>7</v>
      </c>
      <c r="Y171" s="39">
        <v>7.25</v>
      </c>
      <c r="Z171" s="39">
        <v>12.87</v>
      </c>
      <c r="AA171" s="96">
        <v>8</v>
      </c>
      <c r="AB171" s="39">
        <v>12.88</v>
      </c>
      <c r="AC171" s="39">
        <v>21.5</v>
      </c>
      <c r="AD171" s="96">
        <v>9</v>
      </c>
    </row>
    <row r="172" spans="2:30" ht="15.75" customHeight="1">
      <c r="B172" s="18"/>
      <c r="C172" s="18"/>
      <c r="D172" s="18"/>
      <c r="E172" s="69"/>
      <c r="F172" s="70"/>
      <c r="G172" s="70"/>
      <c r="H172" s="69"/>
      <c r="I172" s="69"/>
      <c r="J172" s="71"/>
      <c r="K172" s="103"/>
      <c r="L172" s="104"/>
      <c r="M172" s="95"/>
      <c r="N172" s="17"/>
      <c r="O172" s="17"/>
      <c r="P172" s="17"/>
      <c r="U172" s="39">
        <v>705</v>
      </c>
      <c r="V172" s="39">
        <v>3.5</v>
      </c>
      <c r="W172" s="39">
        <v>7.24</v>
      </c>
      <c r="X172" s="96">
        <v>7</v>
      </c>
      <c r="Y172" s="39">
        <v>7.25</v>
      </c>
      <c r="Z172" s="39">
        <v>12.74</v>
      </c>
      <c r="AA172" s="96">
        <v>8</v>
      </c>
      <c r="AB172" s="39">
        <v>12.75</v>
      </c>
      <c r="AC172" s="39">
        <v>21.5</v>
      </c>
      <c r="AD172" s="96">
        <v>9</v>
      </c>
    </row>
    <row r="173" spans="2:30" ht="15.75" customHeight="1">
      <c r="B173" s="18"/>
      <c r="C173" s="18"/>
      <c r="D173" s="18"/>
      <c r="E173" s="69"/>
      <c r="F173" s="70"/>
      <c r="G173" s="70"/>
      <c r="H173" s="69"/>
      <c r="I173" s="69"/>
      <c r="J173" s="71"/>
      <c r="K173" s="103"/>
      <c r="L173" s="104"/>
      <c r="M173" s="95"/>
      <c r="N173" s="17"/>
      <c r="O173" s="17"/>
      <c r="P173" s="17"/>
      <c r="U173" s="39">
        <v>710</v>
      </c>
      <c r="V173" s="39">
        <v>3.5</v>
      </c>
      <c r="W173" s="39">
        <v>7.24</v>
      </c>
      <c r="X173" s="96">
        <v>7</v>
      </c>
      <c r="Y173" s="39">
        <v>7.25</v>
      </c>
      <c r="Z173" s="39">
        <v>12.74</v>
      </c>
      <c r="AA173" s="96">
        <v>8</v>
      </c>
      <c r="AB173" s="39">
        <v>12.75</v>
      </c>
      <c r="AC173" s="39">
        <v>21.25</v>
      </c>
      <c r="AD173" s="96">
        <v>9</v>
      </c>
    </row>
    <row r="174" spans="2:30" ht="15.75" customHeight="1">
      <c r="B174" s="18"/>
      <c r="C174" s="18"/>
      <c r="D174" s="18"/>
      <c r="E174" s="69"/>
      <c r="F174" s="70"/>
      <c r="G174" s="70"/>
      <c r="H174" s="69"/>
      <c r="I174" s="69"/>
      <c r="J174" s="71"/>
      <c r="K174" s="103"/>
      <c r="L174" s="104"/>
      <c r="M174" s="95"/>
      <c r="N174" s="17"/>
      <c r="O174" s="17"/>
      <c r="P174" s="17"/>
      <c r="U174" s="39">
        <v>715</v>
      </c>
      <c r="V174" s="39">
        <v>3.5</v>
      </c>
      <c r="W174" s="39">
        <v>7.12</v>
      </c>
      <c r="X174" s="96">
        <v>7</v>
      </c>
      <c r="Y174" s="39">
        <v>7.13</v>
      </c>
      <c r="Z174" s="39">
        <v>12.49</v>
      </c>
      <c r="AA174" s="96">
        <v>8</v>
      </c>
      <c r="AB174" s="39">
        <v>12.5</v>
      </c>
      <c r="AC174" s="39">
        <v>21.25</v>
      </c>
      <c r="AD174" s="96">
        <v>9</v>
      </c>
    </row>
    <row r="175" spans="2:30" ht="15.75" customHeight="1">
      <c r="B175" s="18"/>
      <c r="C175" s="18"/>
      <c r="D175" s="18"/>
      <c r="E175" s="69"/>
      <c r="F175" s="70"/>
      <c r="G175" s="70"/>
      <c r="H175" s="69"/>
      <c r="I175" s="69"/>
      <c r="J175" s="71"/>
      <c r="K175" s="103"/>
      <c r="L175" s="104"/>
      <c r="M175" s="95"/>
      <c r="N175" s="17"/>
      <c r="O175" s="17"/>
      <c r="P175" s="17"/>
      <c r="U175" s="39">
        <v>720</v>
      </c>
      <c r="V175" s="39">
        <v>3.5</v>
      </c>
      <c r="W175" s="39">
        <v>7.12</v>
      </c>
      <c r="X175" s="96">
        <v>7</v>
      </c>
      <c r="Y175" s="39">
        <v>7.13</v>
      </c>
      <c r="Z175" s="39">
        <v>12.49</v>
      </c>
      <c r="AA175" s="96">
        <v>8</v>
      </c>
      <c r="AB175" s="39">
        <v>12.5</v>
      </c>
      <c r="AC175" s="39">
        <v>21.25</v>
      </c>
      <c r="AD175" s="96">
        <v>9</v>
      </c>
    </row>
    <row r="176" spans="2:30" ht="15.75" customHeight="1">
      <c r="B176" s="18"/>
      <c r="C176" s="18"/>
      <c r="D176" s="18"/>
      <c r="E176" s="69"/>
      <c r="F176" s="70"/>
      <c r="G176" s="70"/>
      <c r="H176" s="69"/>
      <c r="I176" s="69"/>
      <c r="J176" s="69"/>
      <c r="K176" s="103"/>
      <c r="L176" s="104"/>
      <c r="M176" s="95"/>
      <c r="N176" s="17"/>
      <c r="O176" s="17"/>
      <c r="P176" s="17"/>
      <c r="U176" s="39">
        <v>725</v>
      </c>
      <c r="V176" s="39">
        <v>3.5</v>
      </c>
      <c r="W176" s="39">
        <v>7.12</v>
      </c>
      <c r="X176" s="96">
        <v>7</v>
      </c>
      <c r="Y176" s="39">
        <v>7.13</v>
      </c>
      <c r="Z176" s="39">
        <v>12.49</v>
      </c>
      <c r="AA176" s="96">
        <v>8</v>
      </c>
      <c r="AB176" s="39">
        <v>12.5</v>
      </c>
      <c r="AC176" s="39">
        <v>21</v>
      </c>
      <c r="AD176" s="96">
        <v>9</v>
      </c>
    </row>
    <row r="177" spans="2:31" ht="15.75" customHeight="1">
      <c r="B177" s="18"/>
      <c r="C177" s="18"/>
      <c r="D177" s="18"/>
      <c r="E177" s="69"/>
      <c r="F177" s="70"/>
      <c r="G177" s="70"/>
      <c r="H177" s="69"/>
      <c r="I177" s="69"/>
      <c r="J177" s="71"/>
      <c r="K177" s="103"/>
      <c r="L177" s="104"/>
      <c r="M177" s="95"/>
      <c r="N177" s="17"/>
      <c r="O177" s="17"/>
      <c r="P177" s="17"/>
      <c r="U177" s="39">
        <v>730</v>
      </c>
      <c r="V177" s="39">
        <v>3.5</v>
      </c>
      <c r="W177" s="39">
        <v>7.12</v>
      </c>
      <c r="X177" s="96">
        <v>7</v>
      </c>
      <c r="Y177" s="39">
        <v>7.13</v>
      </c>
      <c r="Z177" s="39">
        <v>12.37</v>
      </c>
      <c r="AA177" s="96">
        <v>8</v>
      </c>
      <c r="AB177" s="39">
        <v>12.38</v>
      </c>
      <c r="AC177" s="39">
        <v>21</v>
      </c>
      <c r="AD177" s="96">
        <v>9</v>
      </c>
    </row>
    <row r="178" spans="2:31" ht="15.75" customHeight="1">
      <c r="B178" s="18"/>
      <c r="C178" s="18"/>
      <c r="D178" s="18"/>
      <c r="E178" s="69"/>
      <c r="F178" s="70"/>
      <c r="G178" s="70"/>
      <c r="H178" s="69"/>
      <c r="I178" s="69"/>
      <c r="J178" s="71"/>
      <c r="K178" s="103"/>
      <c r="L178" s="104"/>
      <c r="M178" s="95"/>
      <c r="N178" s="17"/>
      <c r="O178" s="17"/>
      <c r="P178" s="17"/>
      <c r="U178" s="39">
        <v>735</v>
      </c>
      <c r="V178" s="39">
        <v>3.5</v>
      </c>
      <c r="W178" s="39">
        <v>6.99</v>
      </c>
      <c r="X178" s="96">
        <v>7</v>
      </c>
      <c r="Y178" s="39">
        <v>7</v>
      </c>
      <c r="Z178" s="39">
        <v>12.37</v>
      </c>
      <c r="AA178" s="96">
        <v>8</v>
      </c>
      <c r="AB178" s="39">
        <v>12.38</v>
      </c>
      <c r="AC178" s="39">
        <v>20.75</v>
      </c>
      <c r="AD178" s="96">
        <v>9</v>
      </c>
    </row>
    <row r="179" spans="2:31" ht="15.75" customHeight="1">
      <c r="B179" s="18"/>
      <c r="C179" s="18"/>
      <c r="D179" s="18"/>
      <c r="E179" s="69"/>
      <c r="F179" s="70"/>
      <c r="G179" s="70"/>
      <c r="H179" s="69"/>
      <c r="I179" s="69"/>
      <c r="J179" s="71"/>
      <c r="K179" s="103"/>
      <c r="L179" s="104"/>
      <c r="M179" s="95"/>
      <c r="N179" s="17"/>
      <c r="O179" s="17"/>
      <c r="P179" s="17"/>
      <c r="U179" s="39">
        <v>740</v>
      </c>
      <c r="V179" s="39">
        <v>3.5</v>
      </c>
      <c r="W179" s="39">
        <v>7.25</v>
      </c>
      <c r="X179" s="96">
        <v>7</v>
      </c>
      <c r="Y179" s="39">
        <v>6.88</v>
      </c>
      <c r="Z179" s="39">
        <v>12.24</v>
      </c>
      <c r="AA179" s="96">
        <v>8</v>
      </c>
      <c r="AB179" s="39">
        <v>12.25</v>
      </c>
      <c r="AC179" s="39">
        <v>20.75</v>
      </c>
      <c r="AD179" s="96">
        <v>9</v>
      </c>
    </row>
    <row r="180" spans="2:31" ht="15.75" customHeight="1">
      <c r="B180" s="18"/>
      <c r="C180" s="18"/>
      <c r="D180" s="18"/>
      <c r="E180" s="69"/>
      <c r="F180" s="70"/>
      <c r="G180" s="70"/>
      <c r="H180" s="69"/>
      <c r="I180" s="69"/>
      <c r="J180" s="71"/>
      <c r="K180" s="103"/>
      <c r="L180" s="104"/>
      <c r="M180" s="95"/>
      <c r="N180" s="17"/>
      <c r="O180" s="17"/>
      <c r="P180" s="17"/>
      <c r="U180" s="39">
        <v>745</v>
      </c>
      <c r="V180" s="39">
        <v>3.5</v>
      </c>
      <c r="W180" s="39">
        <v>7.25</v>
      </c>
      <c r="X180" s="96">
        <v>7</v>
      </c>
      <c r="Y180" s="39">
        <v>6.88</v>
      </c>
      <c r="Z180" s="39">
        <v>12.12</v>
      </c>
      <c r="AA180" s="96">
        <v>8</v>
      </c>
      <c r="AB180" s="39">
        <v>12.13</v>
      </c>
      <c r="AC180" s="39">
        <v>20.5</v>
      </c>
      <c r="AD180" s="96">
        <v>9</v>
      </c>
    </row>
    <row r="181" spans="2:31" ht="15.75" customHeight="1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88"/>
      <c r="U181" s="39">
        <v>750</v>
      </c>
      <c r="V181" s="39">
        <v>3.5</v>
      </c>
      <c r="W181" s="39">
        <v>7.25</v>
      </c>
      <c r="X181" s="96">
        <v>7</v>
      </c>
      <c r="Y181" s="39">
        <v>6.88</v>
      </c>
      <c r="Z181" s="39">
        <v>12.12</v>
      </c>
      <c r="AA181" s="96">
        <v>8</v>
      </c>
      <c r="AB181" s="39">
        <v>12.13</v>
      </c>
      <c r="AC181" s="39">
        <v>20.5</v>
      </c>
      <c r="AD181" s="96">
        <v>9</v>
      </c>
    </row>
    <row r="182" spans="2:31" ht="15.75" customHeight="1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88"/>
      <c r="U182" s="39">
        <v>755</v>
      </c>
      <c r="V182" s="39">
        <v>3.75</v>
      </c>
      <c r="W182" s="39">
        <v>7.25</v>
      </c>
      <c r="X182" s="96">
        <v>7</v>
      </c>
      <c r="Y182" s="39">
        <v>6.88</v>
      </c>
      <c r="Z182" s="39">
        <v>11.99</v>
      </c>
      <c r="AA182" s="96">
        <v>8</v>
      </c>
      <c r="AB182" s="39">
        <v>12</v>
      </c>
      <c r="AC182" s="39">
        <v>20.5</v>
      </c>
      <c r="AD182" s="96">
        <v>9</v>
      </c>
    </row>
    <row r="183" spans="2:31" ht="15.75" customHeight="1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88"/>
      <c r="U183" s="39">
        <v>760</v>
      </c>
      <c r="V183" s="39">
        <v>3.75</v>
      </c>
      <c r="W183" s="39">
        <v>7.25</v>
      </c>
      <c r="X183" s="96">
        <v>7</v>
      </c>
      <c r="Y183" s="39">
        <v>6.88</v>
      </c>
      <c r="Z183" s="39">
        <v>11.99</v>
      </c>
      <c r="AA183" s="96">
        <v>8</v>
      </c>
      <c r="AB183" s="39">
        <v>12</v>
      </c>
      <c r="AC183" s="39">
        <v>20.25</v>
      </c>
      <c r="AD183" s="96">
        <v>9</v>
      </c>
    </row>
    <row r="184" spans="2:31" ht="15.75" customHeight="1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88"/>
      <c r="U184" s="39">
        <v>765</v>
      </c>
      <c r="V184" s="39">
        <v>3.75</v>
      </c>
      <c r="W184" s="39">
        <v>7.25</v>
      </c>
      <c r="X184" s="96">
        <v>7</v>
      </c>
      <c r="Y184" s="39">
        <v>6.88</v>
      </c>
      <c r="Z184" s="39">
        <v>11.74</v>
      </c>
      <c r="AA184" s="96">
        <v>8</v>
      </c>
      <c r="AB184" s="39">
        <v>11.75</v>
      </c>
      <c r="AC184" s="39">
        <v>20.25</v>
      </c>
      <c r="AD184" s="96">
        <v>9</v>
      </c>
    </row>
    <row r="185" spans="2:31" ht="15.75" customHeight="1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88"/>
      <c r="U185" s="39">
        <v>770</v>
      </c>
      <c r="V185" s="39">
        <v>3.75</v>
      </c>
      <c r="W185" s="39">
        <v>6.62</v>
      </c>
      <c r="X185" s="96">
        <v>7</v>
      </c>
      <c r="Y185" s="39">
        <v>6.63</v>
      </c>
      <c r="Z185" s="39">
        <v>11.74</v>
      </c>
      <c r="AA185" s="96">
        <v>8</v>
      </c>
      <c r="AB185" s="39">
        <v>11.75</v>
      </c>
      <c r="AC185" s="39">
        <v>20.25</v>
      </c>
      <c r="AD185" s="96">
        <v>9</v>
      </c>
    </row>
    <row r="186" spans="2:31" ht="15.75" customHeight="1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88"/>
      <c r="U186" s="39">
        <v>775</v>
      </c>
      <c r="V186" s="39">
        <v>3.75</v>
      </c>
      <c r="W186" s="39">
        <v>6.62</v>
      </c>
      <c r="X186" s="96">
        <v>7</v>
      </c>
      <c r="Y186" s="39">
        <v>6.63</v>
      </c>
      <c r="Z186" s="39">
        <v>11.74</v>
      </c>
      <c r="AA186" s="96">
        <v>8</v>
      </c>
      <c r="AB186" s="39">
        <v>11.75</v>
      </c>
      <c r="AC186" s="39">
        <v>20.25</v>
      </c>
      <c r="AD186" s="96">
        <v>9</v>
      </c>
    </row>
    <row r="187" spans="2:31" ht="15.75" customHeight="1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88"/>
      <c r="U187" s="39">
        <v>780</v>
      </c>
      <c r="V187" s="39">
        <v>4</v>
      </c>
      <c r="W187" s="39">
        <v>6.62</v>
      </c>
      <c r="X187" s="96">
        <v>7</v>
      </c>
      <c r="Y187" s="39">
        <v>6.63</v>
      </c>
      <c r="Z187" s="39">
        <v>11.49</v>
      </c>
      <c r="AA187" s="96">
        <v>8</v>
      </c>
      <c r="AB187" s="39">
        <v>11.5</v>
      </c>
      <c r="AC187" s="39">
        <v>20.25</v>
      </c>
      <c r="AD187" s="96">
        <v>9</v>
      </c>
    </row>
    <row r="188" spans="2:31" ht="15.75" customHeight="1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88"/>
      <c r="U188" s="39">
        <v>785</v>
      </c>
      <c r="V188" s="39">
        <v>4</v>
      </c>
      <c r="W188" s="39">
        <v>6.62</v>
      </c>
      <c r="X188" s="96">
        <v>7</v>
      </c>
      <c r="Y188" s="39">
        <v>6.63</v>
      </c>
      <c r="Z188" s="39">
        <v>11.49</v>
      </c>
      <c r="AA188" s="96">
        <v>8</v>
      </c>
      <c r="AB188" s="39">
        <v>11.5</v>
      </c>
      <c r="AC188" s="39">
        <v>20</v>
      </c>
      <c r="AD188" s="96">
        <v>9</v>
      </c>
    </row>
    <row r="189" spans="2:31" ht="15.75" customHeight="1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88"/>
      <c r="U189" s="39">
        <v>790</v>
      </c>
      <c r="V189" s="39">
        <v>4</v>
      </c>
      <c r="W189" s="39">
        <v>6.49</v>
      </c>
      <c r="X189" s="96">
        <v>7</v>
      </c>
      <c r="Y189" s="39">
        <v>6.5</v>
      </c>
      <c r="Z189" s="39">
        <v>11.49</v>
      </c>
      <c r="AA189" s="96">
        <v>8</v>
      </c>
      <c r="AB189" s="39">
        <v>11.5</v>
      </c>
      <c r="AC189" s="39">
        <v>20</v>
      </c>
      <c r="AD189" s="96">
        <v>9</v>
      </c>
    </row>
    <row r="190" spans="2:31" ht="15.75" customHeight="1">
      <c r="U190" s="39">
        <v>795</v>
      </c>
      <c r="V190" s="39">
        <v>4</v>
      </c>
      <c r="W190" s="39">
        <v>6.49</v>
      </c>
      <c r="X190" s="96">
        <v>7</v>
      </c>
      <c r="Y190" s="39">
        <v>6.5</v>
      </c>
      <c r="Z190" s="39">
        <v>11.37</v>
      </c>
      <c r="AA190" s="96">
        <v>8</v>
      </c>
      <c r="AB190" s="39">
        <v>11.38</v>
      </c>
      <c r="AC190" s="39">
        <v>20</v>
      </c>
      <c r="AD190" s="96">
        <v>9</v>
      </c>
    </row>
    <row r="191" spans="2:31" ht="15.75" customHeight="1">
      <c r="U191" s="39">
        <v>800</v>
      </c>
      <c r="V191" s="39">
        <v>4</v>
      </c>
      <c r="W191" s="39">
        <v>6.49</v>
      </c>
      <c r="X191" s="96">
        <v>7</v>
      </c>
      <c r="Y191" s="39">
        <v>6.5</v>
      </c>
      <c r="Z191" s="39">
        <v>11.37</v>
      </c>
      <c r="AA191" s="96">
        <v>8</v>
      </c>
      <c r="AB191" s="39">
        <v>11.38</v>
      </c>
      <c r="AC191" s="39">
        <v>20</v>
      </c>
      <c r="AD191" s="96">
        <v>9</v>
      </c>
    </row>
    <row r="192" spans="2:31" ht="15.75" customHeight="1">
      <c r="U192" s="106">
        <f>ROUND(D8/5,0)*5</f>
        <v>595</v>
      </c>
      <c r="V192" s="106">
        <f>LOOKUP(U192,U99:U191,V99:V191)</f>
        <v>3</v>
      </c>
      <c r="W192" s="106">
        <f>LOOKUP(U192,U99:U191,W99:W191)</f>
        <v>5.74</v>
      </c>
      <c r="X192" s="106">
        <f>LOOKUP(U192,U99:U191,X99:X191)</f>
        <v>4</v>
      </c>
      <c r="Y192" s="106">
        <f>LOOKUP(U192,U99:U191,Y99:Y191)</f>
        <v>5.75</v>
      </c>
      <c r="Z192" s="106">
        <f>LOOKUP(U192,U99:U191,Z99:Z191)</f>
        <v>11.12</v>
      </c>
      <c r="AA192" s="106">
        <f>LOOKUP(U192,U99:U191,AA99:AA191)</f>
        <v>5</v>
      </c>
      <c r="AB192" s="106">
        <f>LOOKUP(U192,U99:U191,AB99:AB191)</f>
        <v>11.13</v>
      </c>
      <c r="AC192" s="106">
        <f>LOOKUP(U192,U99:U191,AC99:AC191)</f>
        <v>18.5</v>
      </c>
      <c r="AD192" s="106">
        <f>LOOKUP(U192,U99:U191,AD99:AD191)</f>
        <v>6</v>
      </c>
      <c r="AE192" s="107" t="s">
        <v>127</v>
      </c>
    </row>
    <row r="193" spans="29:31" ht="15.75" customHeight="1">
      <c r="AC193" s="147">
        <f>IF(AND(AC194&gt;=V192,AC194&lt;=W192),X192,IF(AND(AC194&gt;=Y192,AC194&lt;=Z192),AA192,IF(AND(AC194&gt;=AB192,AC194&lt;=AC192),AD192,0)))</f>
        <v>4</v>
      </c>
      <c r="AD193" s="147"/>
      <c r="AE193" s="108" t="s">
        <v>128</v>
      </c>
    </row>
    <row r="194" spans="29:31" ht="15.75" customHeight="1">
      <c r="AC194" s="148">
        <f>D16</f>
        <v>5.4423699999999995</v>
      </c>
      <c r="AD194" s="148"/>
      <c r="AE194" s="109" t="s">
        <v>23</v>
      </c>
    </row>
    <row r="195" spans="29:31" ht="15.75" customHeight="1">
      <c r="AD195" s="49"/>
    </row>
    <row r="196" spans="29:31" ht="15.75" customHeight="1"/>
    <row r="197" spans="29:31" ht="15.75" customHeight="1"/>
    <row r="198" spans="29:31" ht="15.75" customHeight="1"/>
    <row r="199" spans="29:31" ht="15.75" customHeight="1"/>
    <row r="200" spans="29:31" ht="15.75" customHeight="1"/>
    <row r="201" spans="29:31" ht="15.75" customHeight="1"/>
    <row r="202" spans="29:31" ht="15.75" customHeight="1"/>
    <row r="203" spans="29:31" ht="15.75" customHeight="1"/>
    <row r="204" spans="29:31" ht="15.75" customHeight="1"/>
    <row r="205" spans="29:31" ht="15.75" customHeight="1"/>
  </sheetData>
  <sheetProtection selectLockedCells="1" selectUnlockedCells="1"/>
  <mergeCells count="61">
    <mergeCell ref="B114:F114"/>
    <mergeCell ref="G114:H114"/>
    <mergeCell ref="B115:F115"/>
    <mergeCell ref="G115:H115"/>
    <mergeCell ref="AC193:AD193"/>
    <mergeCell ref="AC194:AD194"/>
    <mergeCell ref="B111:F111"/>
    <mergeCell ref="G111:H111"/>
    <mergeCell ref="B112:F112"/>
    <mergeCell ref="G112:H112"/>
    <mergeCell ref="B113:F113"/>
    <mergeCell ref="G113:H113"/>
    <mergeCell ref="B108:F108"/>
    <mergeCell ref="G108:H108"/>
    <mergeCell ref="B109:F109"/>
    <mergeCell ref="G109:H109"/>
    <mergeCell ref="B110:F110"/>
    <mergeCell ref="G110:H110"/>
    <mergeCell ref="B105:F105"/>
    <mergeCell ref="G105:H105"/>
    <mergeCell ref="B106:F106"/>
    <mergeCell ref="G106:H106"/>
    <mergeCell ref="B107:F107"/>
    <mergeCell ref="G107:H107"/>
    <mergeCell ref="B102:F102"/>
    <mergeCell ref="G102:H102"/>
    <mergeCell ref="B103:F103"/>
    <mergeCell ref="G103:H103"/>
    <mergeCell ref="B104:F104"/>
    <mergeCell ref="G104:H104"/>
    <mergeCell ref="B98:C98"/>
    <mergeCell ref="V98:X98"/>
    <mergeCell ref="Y98:AA98"/>
    <mergeCell ref="AB98:AD98"/>
    <mergeCell ref="B99:C99"/>
    <mergeCell ref="B100:C100"/>
    <mergeCell ref="B39:E39"/>
    <mergeCell ref="H88:I88"/>
    <mergeCell ref="B90:B91"/>
    <mergeCell ref="B93:B94"/>
    <mergeCell ref="B96:D96"/>
    <mergeCell ref="B97:C97"/>
    <mergeCell ref="G27:H27"/>
    <mergeCell ref="G28:H28"/>
    <mergeCell ref="B35:E35"/>
    <mergeCell ref="B36:E36"/>
    <mergeCell ref="B37:E37"/>
    <mergeCell ref="B38:E38"/>
    <mergeCell ref="B23:E23"/>
    <mergeCell ref="F23:G23"/>
    <mergeCell ref="B24:E24"/>
    <mergeCell ref="F24:G24"/>
    <mergeCell ref="B25:E25"/>
    <mergeCell ref="F25:G25"/>
    <mergeCell ref="L2:L3"/>
    <mergeCell ref="B14:C14"/>
    <mergeCell ref="B16:C16"/>
    <mergeCell ref="B21:E21"/>
    <mergeCell ref="F21:G21"/>
    <mergeCell ref="B22:E22"/>
    <mergeCell ref="F22:G22"/>
  </mergeCells>
  <pageMargins left="0.39374999999999999" right="0.39374999999999999" top="0.39374999999999999" bottom="0.39374999999999999" header="0.51180555555555551" footer="0.51180555555555551"/>
  <pageSetup paperSize="9" scale="99" firstPageNumber="0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AQ128"/>
  <sheetViews>
    <sheetView showGridLines="0" showRowColHeaders="0" zoomScaleNormal="100" zoomScaleSheetLayoutView="100" workbookViewId="0">
      <selection activeCell="B1" sqref="B1"/>
    </sheetView>
  </sheetViews>
  <sheetFormatPr defaultRowHeight="14.25"/>
  <cols>
    <col min="1" max="1" width="4.28515625" style="1" customWidth="1"/>
    <col min="2" max="2" width="14.42578125" style="1" customWidth="1"/>
    <col min="3" max="3" width="19.140625" style="1" customWidth="1"/>
    <col min="4" max="4" width="9.28515625" style="1" customWidth="1"/>
    <col min="5" max="5" width="4.28515625" style="1" customWidth="1"/>
    <col min="6" max="7" width="5.85546875" style="1" customWidth="1"/>
    <col min="8" max="8" width="9.140625" style="1"/>
    <col min="9" max="9" width="6" style="1" customWidth="1"/>
    <col min="10" max="10" width="9.42578125" style="1" customWidth="1"/>
    <col min="11" max="11" width="13.85546875" style="1" customWidth="1"/>
    <col min="12" max="14" width="12.140625" style="1" customWidth="1"/>
    <col min="15" max="15" width="9.140625" style="1"/>
    <col min="16" max="19" width="9.28515625" style="6" customWidth="1"/>
    <col min="20" max="20" width="1.5703125" style="6" customWidth="1"/>
    <col min="21" max="21" width="9.28515625" style="6" customWidth="1"/>
    <col min="22" max="23" width="5.42578125" style="6" customWidth="1"/>
    <col min="24" max="24" width="2.7109375" style="6" customWidth="1"/>
    <col min="25" max="26" width="5" style="6" customWidth="1"/>
    <col min="27" max="27" width="2.140625" style="6" customWidth="1"/>
    <col min="28" max="29" width="5" style="6" customWidth="1"/>
    <col min="30" max="30" width="2.140625" style="6" customWidth="1"/>
    <col min="31" max="32" width="5" style="6" customWidth="1"/>
    <col min="33" max="33" width="2.140625" style="6" customWidth="1"/>
    <col min="34" max="35" width="5" style="6" customWidth="1"/>
    <col min="36" max="36" width="2.140625" style="6" customWidth="1"/>
    <col min="37" max="38" width="5" style="6" customWidth="1"/>
    <col min="39" max="39" width="2.140625" style="6" customWidth="1"/>
    <col min="40" max="40" width="5" style="6" customWidth="1"/>
    <col min="41" max="41" width="5.42578125" style="6" customWidth="1"/>
    <col min="42" max="42" width="3.28515625" style="1" customWidth="1"/>
    <col min="43" max="44" width="5.42578125" style="1" customWidth="1"/>
    <col min="45" max="16384" width="9.140625" style="1"/>
  </cols>
  <sheetData>
    <row r="1" spans="2:13">
      <c r="I1" s="85"/>
      <c r="J1" s="2"/>
      <c r="K1" s="3"/>
      <c r="L1" s="157"/>
    </row>
    <row r="2" spans="2:13">
      <c r="I2" s="85"/>
      <c r="J2" s="2"/>
      <c r="K2" s="4"/>
      <c r="L2" s="158"/>
    </row>
    <row r="3" spans="2:13">
      <c r="L3" s="158"/>
    </row>
    <row r="4" spans="2:13">
      <c r="B4" s="5">
        <v>2</v>
      </c>
      <c r="C4" s="6"/>
      <c r="D4" s="6"/>
      <c r="E4" s="6"/>
      <c r="F4" s="6"/>
      <c r="G4" s="6"/>
      <c r="H4" s="6"/>
      <c r="I4" s="7"/>
      <c r="J4" s="6"/>
      <c r="K4" s="6"/>
    </row>
    <row r="5" spans="2:13" ht="16.5" customHeight="1">
      <c r="B5" s="8" t="s">
        <v>0</v>
      </c>
      <c r="H5" s="9"/>
      <c r="I5" s="7"/>
      <c r="M5" s="14"/>
    </row>
    <row r="6" spans="2:13" ht="15" customHeight="1">
      <c r="C6" s="23"/>
      <c r="D6" s="23"/>
      <c r="F6" s="23"/>
      <c r="G6" s="23"/>
      <c r="H6" s="23"/>
      <c r="I6" s="7"/>
      <c r="L6" s="14"/>
      <c r="M6" s="14"/>
    </row>
    <row r="7" spans="2:13" ht="15" customHeight="1">
      <c r="B7" s="11" t="s">
        <v>1</v>
      </c>
      <c r="C7" s="86" t="s">
        <v>2</v>
      </c>
      <c r="D7" s="13">
        <v>580</v>
      </c>
      <c r="E7" s="30"/>
      <c r="F7" s="32"/>
      <c r="G7" s="23"/>
      <c r="H7" s="23"/>
      <c r="I7" s="7"/>
      <c r="L7" s="14"/>
      <c r="M7" s="14"/>
    </row>
    <row r="8" spans="2:13" ht="4.5" customHeight="1">
      <c r="B8" s="11"/>
      <c r="C8" s="86"/>
      <c r="D8" s="37" t="s">
        <v>129</v>
      </c>
      <c r="E8" s="30"/>
      <c r="F8" s="32"/>
      <c r="G8" s="23"/>
      <c r="H8" s="23"/>
      <c r="I8" s="7"/>
      <c r="L8" s="14"/>
      <c r="M8" s="14"/>
    </row>
    <row r="9" spans="2:13" ht="15" customHeight="1">
      <c r="B9" s="11" t="s">
        <v>3</v>
      </c>
      <c r="C9" s="86" t="s">
        <v>4</v>
      </c>
      <c r="D9" s="13">
        <v>600</v>
      </c>
      <c r="E9" s="30"/>
      <c r="F9" s="32"/>
      <c r="G9" s="23"/>
      <c r="H9" s="23"/>
      <c r="I9" s="7"/>
      <c r="L9" s="14"/>
      <c r="M9" s="14"/>
    </row>
    <row r="10" spans="2:13" ht="4.5" customHeight="1">
      <c r="B10" s="11"/>
      <c r="C10" s="86"/>
      <c r="D10" s="37"/>
      <c r="E10" s="30"/>
      <c r="F10" s="32"/>
      <c r="G10" s="23"/>
      <c r="H10" s="23"/>
      <c r="I10" s="7"/>
      <c r="L10" s="14"/>
      <c r="M10" s="14"/>
    </row>
    <row r="11" spans="2:13" ht="15" customHeight="1">
      <c r="B11" s="11" t="s">
        <v>5</v>
      </c>
      <c r="C11" s="86" t="s">
        <v>6</v>
      </c>
      <c r="D11" s="13">
        <v>18</v>
      </c>
      <c r="E11" s="23"/>
      <c r="F11" s="23"/>
      <c r="G11" s="23"/>
      <c r="H11" s="23"/>
      <c r="I11" s="7"/>
    </row>
    <row r="12" spans="2:13" ht="4.5" customHeight="1">
      <c r="B12" s="11"/>
      <c r="C12" s="12"/>
      <c r="D12" s="37"/>
      <c r="E12" s="23"/>
      <c r="F12" s="23"/>
      <c r="G12" s="23"/>
      <c r="H12" s="23"/>
      <c r="I12" s="7"/>
    </row>
    <row r="13" spans="2:13" ht="15" customHeight="1">
      <c r="B13" s="124" t="s">
        <v>130</v>
      </c>
      <c r="C13" s="124"/>
      <c r="D13" s="13">
        <v>300</v>
      </c>
      <c r="E13" s="6"/>
      <c r="F13" s="6"/>
      <c r="G13" s="6"/>
      <c r="H13" s="6"/>
      <c r="I13" s="7"/>
      <c r="J13" s="6"/>
      <c r="K13" s="6"/>
    </row>
    <row r="14" spans="2:13" ht="16.5" customHeight="1">
      <c r="B14" s="8"/>
      <c r="C14" s="8"/>
      <c r="D14" s="17"/>
      <c r="E14" s="6"/>
      <c r="F14" s="6"/>
      <c r="G14" s="6"/>
      <c r="H14" s="6"/>
      <c r="I14" s="7"/>
      <c r="J14" s="6"/>
      <c r="K14" s="6"/>
    </row>
    <row r="15" spans="2:13" ht="15" customHeight="1">
      <c r="B15" s="125" t="s">
        <v>81</v>
      </c>
      <c r="C15" s="125"/>
      <c r="D15" s="27">
        <f>IF(B4=1,D108,IF(B4=2,D109,IF(B4=3,D110,D111)))</f>
        <v>5.0606399999999994</v>
      </c>
      <c r="E15" s="6"/>
      <c r="F15" s="6"/>
      <c r="G15" s="6"/>
      <c r="H15" s="6"/>
      <c r="I15" s="7"/>
      <c r="J15" s="6"/>
      <c r="K15" s="6"/>
    </row>
    <row r="16" spans="2:13" ht="15" customHeight="1">
      <c r="B16" s="91" t="s">
        <v>98</v>
      </c>
      <c r="C16" s="110" t="s">
        <v>99</v>
      </c>
      <c r="D16" s="39">
        <f>IF(AK106=0,CHAR(32),318335+AK106)</f>
        <v>318343</v>
      </c>
      <c r="E16" s="6"/>
      <c r="F16" s="6"/>
      <c r="G16" s="6"/>
      <c r="H16" s="6"/>
      <c r="I16" s="7"/>
      <c r="J16" s="6"/>
      <c r="K16" s="6"/>
    </row>
    <row r="17" spans="2:43">
      <c r="B17" s="8"/>
      <c r="C17" s="8"/>
      <c r="D17" s="17"/>
      <c r="E17" s="6"/>
      <c r="F17" s="6"/>
      <c r="G17" s="6"/>
      <c r="H17" s="6"/>
      <c r="I17" s="7"/>
      <c r="J17" s="6"/>
      <c r="K17" s="6"/>
    </row>
    <row r="18" spans="2:43">
      <c r="B18" s="31" t="str">
        <f>IF(OR(D9&lt;450,D9&gt;1800),"Pozor šírka čela je od 450 - 1800 mm ! !","")</f>
        <v/>
      </c>
      <c r="C18" s="8"/>
      <c r="D18" s="17"/>
      <c r="E18" s="6"/>
      <c r="F18" s="6"/>
      <c r="G18" s="6"/>
      <c r="H18" s="6"/>
      <c r="I18" s="7"/>
      <c r="J18" s="6"/>
      <c r="K18" s="6"/>
    </row>
    <row r="19" spans="2:43">
      <c r="B19" s="8"/>
      <c r="C19" s="8"/>
      <c r="D19" s="17"/>
      <c r="E19" s="6"/>
      <c r="F19" s="6"/>
      <c r="G19" s="6"/>
      <c r="H19" s="6"/>
      <c r="I19" s="7"/>
      <c r="J19" s="6"/>
      <c r="K19" s="6"/>
    </row>
    <row r="21" spans="2:43" s="35" customFormat="1" ht="34.5" customHeight="1">
      <c r="B21" s="127" t="s">
        <v>10</v>
      </c>
      <c r="C21" s="127"/>
      <c r="D21" s="127"/>
      <c r="E21" s="127"/>
      <c r="F21" s="128" t="s">
        <v>11</v>
      </c>
      <c r="G21" s="128"/>
      <c r="H21" s="33" t="s">
        <v>12</v>
      </c>
      <c r="I21" s="33" t="s">
        <v>13</v>
      </c>
      <c r="J21" s="34"/>
      <c r="K21" s="34"/>
    </row>
    <row r="22" spans="2:43" s="111" customFormat="1" ht="20.25" customHeight="1">
      <c r="B22" s="131" t="str">
        <f>IF(AK106=5,B113,IF(AK106=6,B114,IF(AK106=7,B115,IF(AK106=8,B116,IF(AK106=9,B117,IF(AK106=10,B118,"Aventos neexistuje ! ! ! "))))))</f>
        <v>Telo aventosu pre váhu 4,25 - 20 kg</v>
      </c>
      <c r="C22" s="131"/>
      <c r="D22" s="131"/>
      <c r="E22" s="131"/>
      <c r="F22" s="132" t="str">
        <f>IF(AK106=5,G113,IF(AK106=6,G114,IF(AK106=7,G115,IF(AK106=8,G116,IF(AK106=9,G117,IF(AK106=10,G118,""))))))</f>
        <v>20L2700</v>
      </c>
      <c r="G22" s="132"/>
      <c r="H22" s="39">
        <f>IF(AK106=5,I113,IF(AK106=6,I114,IF(AK106=7,I115,IF(AK106=8,I116,IF(AK106=9,I117,IF(AK106=10,I118,""))))))</f>
        <v>318343</v>
      </c>
      <c r="I22" s="39">
        <f>IF(AK106=5,J113,IF(AK106=6,J114,IF(AK106=7,J115,IF(AK106=8,J116,IF(AK106=9,J117,IF(AK106=10,J118,""))))))</f>
        <v>1</v>
      </c>
      <c r="J22" s="27"/>
      <c r="K22" s="27"/>
      <c r="L22" s="6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</row>
    <row r="23" spans="2:43" s="111" customFormat="1" ht="20.25" customHeight="1">
      <c r="B23" s="131" t="str">
        <f>IF(X105=1,B118,IF(X105=2,B119,IF(X105=3,B120,IF(X105=4,B121,"Max. výška čela je od 300 - 580 mm ! ! !"))))</f>
        <v>sada teleskopov pre výšku 450 - 580 mm</v>
      </c>
      <c r="C23" s="131"/>
      <c r="D23" s="131"/>
      <c r="E23" s="131"/>
      <c r="F23" s="132" t="str">
        <f>IF(X105=1,G118,IF(X105=2,G119,IF(X105=3,G120,IF(X105=4,G121,""))))</f>
        <v>20L3900</v>
      </c>
      <c r="G23" s="132"/>
      <c r="H23" s="39">
        <f>IF(X105=1,I118,IF(X105=2,I119,IF(X105=3,I120,IF(X105=4,I121,""))))</f>
        <v>318348</v>
      </c>
      <c r="I23" s="39">
        <f>IF(X105=1,J118,IF(X105=2,J119,IF(X105=3,J120,IF(X105=4,J121,""))))</f>
        <v>1</v>
      </c>
      <c r="J23" s="27"/>
      <c r="K23" s="27"/>
      <c r="L23" s="6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</row>
    <row r="24" spans="2:43" s="6" customFormat="1" ht="20.25" customHeight="1">
      <c r="B24" s="131" t="str">
        <f>IF(I22="","",IF(B4&lt;4,B122,IF(B4=4,B123,"")))</f>
        <v>symetrické čelné kovanie pre drev.dvierka, široký al. rámik</v>
      </c>
      <c r="C24" s="131"/>
      <c r="D24" s="131"/>
      <c r="E24" s="131"/>
      <c r="F24" s="132" t="str">
        <f>IF(I22="","",IF(B4&lt;4,G122,IF(B4=4,G123,"")))</f>
        <v>20S4200</v>
      </c>
      <c r="G24" s="132"/>
      <c r="H24" s="39">
        <f>IF(I22="","",IF(B4&lt;4,I122,IF(B4=4,I123,"")))</f>
        <v>318310</v>
      </c>
      <c r="I24" s="39">
        <f>IF(I22="","",IF(B4&lt;4,J122,IF(B4=4,J123,"")))</f>
        <v>1</v>
      </c>
      <c r="J24" s="27"/>
      <c r="K24" s="27"/>
    </row>
    <row r="25" spans="2:43" s="111" customFormat="1" ht="20.25" customHeight="1">
      <c r="B25" s="131" t="str">
        <f>IF(I22="","",B124)</f>
        <v>tyč priečnej stabilizácie, dĺžka 1061mm</v>
      </c>
      <c r="C25" s="131"/>
      <c r="D25" s="131"/>
      <c r="E25" s="131"/>
      <c r="F25" s="132" t="str">
        <f>IF(I22="","",G124)</f>
        <v>20Q1061UA</v>
      </c>
      <c r="G25" s="132"/>
      <c r="H25" s="39">
        <f>IF(I22="","",I124)</f>
        <v>318350</v>
      </c>
      <c r="I25" s="39">
        <f>IF(I22="","",IF((D9-D11-120)&lt;=1060,1,IF((D9-D11-120)&gt;1060,2,"")))</f>
        <v>1</v>
      </c>
      <c r="J25" s="27"/>
      <c r="K25" s="27"/>
      <c r="L25" s="6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</row>
    <row r="26" spans="2:43" s="111" customFormat="1" ht="20.25" customHeight="1">
      <c r="B26" s="131" t="str">
        <f>IF(I22="","",IF(J124=2,B125,""))</f>
        <v/>
      </c>
      <c r="C26" s="131"/>
      <c r="D26" s="131"/>
      <c r="E26" s="131"/>
      <c r="F26" s="132" t="str">
        <f>IF(I22="","",IF(J124=2,G125,""))</f>
        <v/>
      </c>
      <c r="G26" s="132"/>
      <c r="H26" s="39" t="str">
        <f>IF(I22="","",IF(J124=2,I125,""))</f>
        <v/>
      </c>
      <c r="I26" s="39" t="str">
        <f>IF(I22="","",IF(J124=2,J125,""))</f>
        <v/>
      </c>
      <c r="J26" s="27" t="str">
        <f>IF(I22="","",IF(J124=2,L125,""))</f>
        <v/>
      </c>
      <c r="K26" s="27" t="str">
        <f>IF(I22="","",IF(J124=2,M125,""))</f>
        <v/>
      </c>
      <c r="L26" s="6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</row>
    <row r="27" spans="2:43" s="111" customFormat="1" ht="20.25" customHeight="1">
      <c r="B27" s="23"/>
      <c r="C27" s="23"/>
      <c r="D27" s="23"/>
      <c r="E27" s="23"/>
      <c r="F27" s="6"/>
      <c r="G27" s="6"/>
      <c r="H27" s="6"/>
      <c r="I27" s="6"/>
      <c r="J27" s="6"/>
      <c r="K27" s="6"/>
      <c r="L27" s="6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</row>
    <row r="28" spans="2:43" s="111" customFormat="1" ht="19.5" hidden="1" customHeight="1">
      <c r="B28" s="23"/>
      <c r="C28" s="23"/>
      <c r="D28" s="23"/>
      <c r="E28" s="23"/>
      <c r="F28" s="6"/>
      <c r="G28" s="134" t="s">
        <v>14</v>
      </c>
      <c r="H28" s="134"/>
      <c r="I28" s="40" t="s">
        <v>15</v>
      </c>
      <c r="J28" s="41">
        <f>SUM(J22:J26)</f>
        <v>0</v>
      </c>
      <c r="K28" s="89"/>
      <c r="L28" s="6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</row>
    <row r="29" spans="2:43" ht="15" hidden="1" customHeight="1">
      <c r="G29" s="135" t="s">
        <v>16</v>
      </c>
      <c r="H29" s="135"/>
      <c r="I29" s="40" t="s">
        <v>17</v>
      </c>
      <c r="J29" s="41">
        <f>SUM(K22:K26)</f>
        <v>0</v>
      </c>
      <c r="K29" s="89"/>
    </row>
    <row r="30" spans="2:43" s="113" customFormat="1" ht="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4"/>
      <c r="AQ30" s="114"/>
    </row>
    <row r="31" spans="2:43" ht="15" customHeight="1"/>
    <row r="32" spans="2:43" s="113" customFormat="1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4"/>
      <c r="AQ32" s="114"/>
    </row>
    <row r="33" spans="2:43" ht="15" customHeight="1"/>
    <row r="34" spans="2:43" s="113" customFormat="1" ht="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4"/>
      <c r="AQ34" s="114"/>
    </row>
    <row r="35" spans="2:43">
      <c r="B35" s="133"/>
      <c r="C35" s="133"/>
      <c r="D35" s="133"/>
      <c r="E35" s="133"/>
    </row>
    <row r="36" spans="2:43">
      <c r="B36" s="133"/>
      <c r="C36" s="133"/>
      <c r="D36" s="133"/>
      <c r="E36" s="133"/>
    </row>
    <row r="37" spans="2:43">
      <c r="B37" s="149"/>
      <c r="C37" s="149"/>
      <c r="D37" s="149"/>
      <c r="E37" s="149"/>
      <c r="F37" s="18"/>
      <c r="G37" s="150"/>
      <c r="H37" s="150"/>
      <c r="I37" s="150"/>
      <c r="J37" s="151"/>
      <c r="K37" s="151"/>
      <c r="L37" s="18"/>
      <c r="M37" s="18"/>
    </row>
    <row r="38" spans="2:43">
      <c r="B38" s="133"/>
      <c r="C38" s="133"/>
      <c r="D38" s="133"/>
      <c r="E38" s="133"/>
    </row>
    <row r="39" spans="2:43">
      <c r="B39" s="133"/>
      <c r="C39" s="133"/>
      <c r="D39" s="133"/>
      <c r="E39" s="133"/>
    </row>
    <row r="40" spans="2:43">
      <c r="B40" s="133"/>
      <c r="C40" s="133"/>
      <c r="D40" s="133"/>
      <c r="E40" s="133"/>
    </row>
    <row r="89" spans="2:43" s="115" customFormat="1" ht="16.5" customHeight="1"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</row>
    <row r="90" spans="2:43" s="113" customFormat="1" ht="12.75" hidden="1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4"/>
      <c r="AQ90" s="114"/>
    </row>
    <row r="91" spans="2:43" s="113" customFormat="1" ht="12.75" hidden="1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4"/>
      <c r="AQ91" s="114"/>
    </row>
    <row r="92" spans="2:43" s="113" customFormat="1" ht="12.75" hidden="1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4"/>
      <c r="AQ92" s="114"/>
    </row>
    <row r="93" spans="2:43" s="113" customFormat="1" ht="12.75" hidden="1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4"/>
      <c r="AQ93" s="114"/>
    </row>
    <row r="94" spans="2:43" s="113" customFormat="1" ht="12.75" hidden="1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4"/>
      <c r="AQ94" s="114"/>
    </row>
    <row r="95" spans="2:43" s="113" customFormat="1" ht="12.75" hidden="1" customHeight="1">
      <c r="B95" s="50"/>
      <c r="C95" s="51" t="s">
        <v>18</v>
      </c>
      <c r="D95" s="51" t="s">
        <v>19</v>
      </c>
      <c r="E95" s="52" t="s">
        <v>20</v>
      </c>
      <c r="F95" s="51" t="s">
        <v>21</v>
      </c>
      <c r="G95" s="51" t="s">
        <v>13</v>
      </c>
      <c r="H95" s="136" t="s">
        <v>22</v>
      </c>
      <c r="I95" s="136"/>
      <c r="J95" s="53" t="s">
        <v>23</v>
      </c>
      <c r="K95" s="54" t="s">
        <v>24</v>
      </c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4"/>
      <c r="AQ95" s="114"/>
    </row>
    <row r="96" spans="2:43" s="113" customFormat="1" ht="12.75" hidden="1" customHeight="1">
      <c r="B96" s="56"/>
      <c r="C96" s="57" t="s">
        <v>25</v>
      </c>
      <c r="D96" s="57" t="s">
        <v>26</v>
      </c>
      <c r="E96" s="58" t="s">
        <v>26</v>
      </c>
      <c r="F96" s="57" t="s">
        <v>26</v>
      </c>
      <c r="G96" s="57" t="s">
        <v>27</v>
      </c>
      <c r="H96" s="59" t="s">
        <v>28</v>
      </c>
      <c r="I96" s="60" t="s">
        <v>29</v>
      </c>
      <c r="J96" s="61" t="s">
        <v>30</v>
      </c>
      <c r="K96" s="6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52">
        <v>318340</v>
      </c>
      <c r="AB96" s="112"/>
      <c r="AC96" s="112"/>
      <c r="AD96" s="152">
        <v>318341</v>
      </c>
      <c r="AE96" s="112"/>
      <c r="AF96" s="112"/>
      <c r="AG96" s="152">
        <v>318342</v>
      </c>
      <c r="AH96" s="112"/>
      <c r="AI96" s="112"/>
      <c r="AJ96" s="152">
        <v>31843</v>
      </c>
      <c r="AK96" s="112"/>
      <c r="AL96" s="112"/>
      <c r="AM96" s="152">
        <v>318344</v>
      </c>
      <c r="AN96" s="112"/>
      <c r="AO96" s="112"/>
      <c r="AP96" s="114"/>
      <c r="AQ96" s="114"/>
    </row>
    <row r="97" spans="2:43" s="113" customFormat="1" ht="12.75" hidden="1" customHeight="1">
      <c r="B97" s="137" t="s">
        <v>31</v>
      </c>
      <c r="C97" s="39">
        <v>7.25</v>
      </c>
      <c r="D97" s="37">
        <f>D9</f>
        <v>600</v>
      </c>
      <c r="E97" s="36">
        <f>D7</f>
        <v>580</v>
      </c>
      <c r="F97" s="37">
        <v>19</v>
      </c>
      <c r="G97" s="37">
        <v>1</v>
      </c>
      <c r="H97" s="37">
        <f>(D97*2+E97*2)*G97</f>
        <v>2360</v>
      </c>
      <c r="I97" s="63">
        <f>H97/10</f>
        <v>236</v>
      </c>
      <c r="J97" s="64">
        <f>I97*$C$97/1000</f>
        <v>1.7110000000000001</v>
      </c>
      <c r="K97" s="37" t="s">
        <v>32</v>
      </c>
      <c r="L97" s="117"/>
      <c r="M97" s="117"/>
      <c r="N97" s="117"/>
      <c r="O97" s="117"/>
      <c r="P97" s="118"/>
      <c r="Q97" s="118"/>
      <c r="R97" s="118"/>
      <c r="S97" s="112"/>
      <c r="T97" s="112"/>
      <c r="U97" s="112"/>
      <c r="V97" s="112"/>
      <c r="W97" s="112"/>
      <c r="X97" s="112"/>
      <c r="Y97" s="112"/>
      <c r="Z97" s="112"/>
      <c r="AA97" s="152"/>
      <c r="AB97" s="112"/>
      <c r="AC97" s="112"/>
      <c r="AD97" s="152"/>
      <c r="AE97" s="112"/>
      <c r="AF97" s="112"/>
      <c r="AG97" s="152"/>
      <c r="AH97" s="112"/>
      <c r="AI97" s="112"/>
      <c r="AJ97" s="152"/>
      <c r="AK97" s="112"/>
      <c r="AL97" s="112"/>
      <c r="AM97" s="152"/>
      <c r="AN97" s="112"/>
      <c r="AO97" s="112"/>
      <c r="AP97" s="114"/>
      <c r="AQ97" s="114"/>
    </row>
    <row r="98" spans="2:43" ht="12.75" hidden="1" customHeight="1">
      <c r="B98" s="137"/>
      <c r="C98" s="38">
        <f>200/57</f>
        <v>3.5087719298245612</v>
      </c>
      <c r="D98" s="37">
        <f>D9</f>
        <v>600</v>
      </c>
      <c r="E98" s="36">
        <f>D7</f>
        <v>580</v>
      </c>
      <c r="F98" s="37">
        <v>19</v>
      </c>
      <c r="G98" s="37">
        <v>1</v>
      </c>
      <c r="H98" s="37">
        <f>(D98*2+E98*2)*G98</f>
        <v>2360</v>
      </c>
      <c r="I98" s="63">
        <f>H98/10</f>
        <v>236</v>
      </c>
      <c r="J98" s="64">
        <f>I98*$C$98/1000</f>
        <v>0.82807017543859651</v>
      </c>
      <c r="K98" s="37" t="s">
        <v>33</v>
      </c>
      <c r="L98" s="10"/>
      <c r="M98" s="10"/>
      <c r="N98" s="10"/>
      <c r="O98" s="10"/>
      <c r="P98" s="88"/>
      <c r="Q98" s="88"/>
      <c r="R98" s="88"/>
      <c r="U98" s="23" t="s">
        <v>100</v>
      </c>
      <c r="AA98" s="152"/>
      <c r="AD98" s="152"/>
      <c r="AG98" s="152"/>
      <c r="AJ98" s="152"/>
      <c r="AM98" s="152"/>
    </row>
    <row r="99" spans="2:43" ht="12.75" hidden="1" customHeight="1">
      <c r="B99" s="37" t="s">
        <v>34</v>
      </c>
      <c r="C99" s="65">
        <v>2200</v>
      </c>
      <c r="D99" s="37">
        <f>D9</f>
        <v>600</v>
      </c>
      <c r="E99" s="36">
        <f>D7</f>
        <v>580</v>
      </c>
      <c r="F99" s="37">
        <v>4</v>
      </c>
      <c r="G99" s="37">
        <v>1</v>
      </c>
      <c r="H99" s="63">
        <f>D99*E99*F99*G99</f>
        <v>1392000</v>
      </c>
      <c r="I99" s="66">
        <f>H99/1000000000</f>
        <v>1.392E-3</v>
      </c>
      <c r="J99" s="67">
        <f>I99*$C$99</f>
        <v>3.0624000000000002</v>
      </c>
      <c r="K99" s="68"/>
      <c r="L99" s="104"/>
      <c r="M99" s="95"/>
      <c r="N99" s="17"/>
      <c r="O99" s="17"/>
      <c r="P99" s="17"/>
      <c r="Q99" s="88"/>
      <c r="R99" s="88"/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9">
        <v>0</v>
      </c>
    </row>
    <row r="100" spans="2:43" ht="12.75" hidden="1" customHeight="1">
      <c r="B100" s="137" t="s">
        <v>35</v>
      </c>
      <c r="C100" s="64">
        <f>SUM(J97,J99)</f>
        <v>4.7734000000000005</v>
      </c>
      <c r="D100" s="37" t="s">
        <v>32</v>
      </c>
      <c r="E100" s="69"/>
      <c r="F100" s="70"/>
      <c r="G100" s="70"/>
      <c r="H100" s="69"/>
      <c r="I100" s="69"/>
      <c r="J100" s="71"/>
      <c r="K100" s="72"/>
      <c r="L100" s="104"/>
      <c r="M100" s="95"/>
      <c r="N100" s="17"/>
      <c r="O100" s="17"/>
      <c r="P100" s="17"/>
      <c r="Q100" s="88"/>
      <c r="R100" s="88"/>
      <c r="U100" s="17"/>
      <c r="V100" s="13">
        <v>300</v>
      </c>
      <c r="W100" s="13">
        <v>349</v>
      </c>
      <c r="X100" s="13">
        <v>1</v>
      </c>
      <c r="Y100" s="37">
        <v>1.25</v>
      </c>
      <c r="Z100" s="37">
        <v>3.87</v>
      </c>
      <c r="AA100" s="96">
        <v>5</v>
      </c>
      <c r="AB100" s="37">
        <v>3.88</v>
      </c>
      <c r="AC100" s="37">
        <v>6.87</v>
      </c>
      <c r="AD100" s="96">
        <v>6</v>
      </c>
      <c r="AE100" s="39">
        <v>6.88</v>
      </c>
      <c r="AF100" s="37">
        <v>11.49</v>
      </c>
      <c r="AG100" s="96">
        <v>7</v>
      </c>
      <c r="AH100" s="37">
        <v>11.5</v>
      </c>
      <c r="AI100" s="37">
        <v>20</v>
      </c>
      <c r="AJ100" s="96">
        <v>8</v>
      </c>
      <c r="AK100" s="39">
        <v>999</v>
      </c>
      <c r="AL100" s="39">
        <v>999</v>
      </c>
      <c r="AM100" s="96">
        <v>9</v>
      </c>
    </row>
    <row r="101" spans="2:43" ht="12.75" hidden="1" customHeight="1">
      <c r="B101" s="137"/>
      <c r="C101" s="64">
        <f>SUM(J98,J99)</f>
        <v>3.8904701754385966</v>
      </c>
      <c r="D101" s="37" t="s">
        <v>33</v>
      </c>
      <c r="E101" s="73"/>
      <c r="F101" s="74"/>
      <c r="G101" s="74"/>
      <c r="H101" s="73"/>
      <c r="I101" s="73"/>
      <c r="J101" s="75"/>
      <c r="K101" s="76"/>
      <c r="L101" s="104"/>
      <c r="M101" s="95"/>
      <c r="N101" s="17"/>
      <c r="O101" s="17"/>
      <c r="P101" s="17"/>
      <c r="Q101" s="88"/>
      <c r="R101" s="88"/>
      <c r="U101" s="17"/>
      <c r="V101" s="13">
        <v>350</v>
      </c>
      <c r="W101" s="13">
        <v>399</v>
      </c>
      <c r="X101" s="13">
        <v>2</v>
      </c>
      <c r="Y101" s="37">
        <v>1.25</v>
      </c>
      <c r="Z101" s="37">
        <v>2.12</v>
      </c>
      <c r="AA101" s="96">
        <v>5</v>
      </c>
      <c r="AB101" s="37">
        <v>2.13</v>
      </c>
      <c r="AC101" s="37">
        <v>4.62</v>
      </c>
      <c r="AD101" s="96">
        <v>6</v>
      </c>
      <c r="AE101" s="37">
        <v>4.63</v>
      </c>
      <c r="AF101" s="37">
        <v>8.49</v>
      </c>
      <c r="AG101" s="96">
        <v>7</v>
      </c>
      <c r="AH101" s="37">
        <v>8.5</v>
      </c>
      <c r="AI101" s="39">
        <v>14.12</v>
      </c>
      <c r="AJ101" s="96">
        <v>8</v>
      </c>
      <c r="AK101" s="39">
        <v>14.13</v>
      </c>
      <c r="AL101" s="39">
        <v>20</v>
      </c>
      <c r="AM101" s="96">
        <v>9</v>
      </c>
    </row>
    <row r="102" spans="2:43" ht="12.75" hidden="1" customHeight="1">
      <c r="B102" s="18"/>
      <c r="C102" s="119"/>
      <c r="D102" s="119"/>
      <c r="E102" s="119"/>
      <c r="F102" s="120"/>
      <c r="G102" s="120"/>
      <c r="H102" s="119"/>
      <c r="I102" s="119"/>
      <c r="J102" s="153"/>
      <c r="K102" s="153"/>
      <c r="L102" s="55"/>
      <c r="M102" s="55"/>
      <c r="N102" s="17"/>
      <c r="O102" s="17"/>
      <c r="P102" s="17"/>
      <c r="Q102" s="88"/>
      <c r="R102" s="88"/>
      <c r="U102" s="17"/>
      <c r="V102" s="13">
        <v>400</v>
      </c>
      <c r="W102" s="13">
        <v>499</v>
      </c>
      <c r="X102" s="13">
        <v>3</v>
      </c>
      <c r="Y102" s="37">
        <v>999</v>
      </c>
      <c r="Z102" s="37">
        <v>999</v>
      </c>
      <c r="AA102" s="96">
        <v>5</v>
      </c>
      <c r="AB102" s="37">
        <v>1.75</v>
      </c>
      <c r="AC102" s="37">
        <v>3.12</v>
      </c>
      <c r="AD102" s="96">
        <v>6</v>
      </c>
      <c r="AE102" s="37">
        <v>3.13</v>
      </c>
      <c r="AF102" s="37">
        <v>6.24</v>
      </c>
      <c r="AG102" s="96">
        <v>7</v>
      </c>
      <c r="AH102" s="37">
        <v>6.25</v>
      </c>
      <c r="AI102" s="39">
        <v>11.12</v>
      </c>
      <c r="AJ102" s="96">
        <v>8</v>
      </c>
      <c r="AK102" s="39">
        <v>11.13</v>
      </c>
      <c r="AL102" s="39">
        <v>20</v>
      </c>
      <c r="AM102" s="96">
        <v>9</v>
      </c>
    </row>
    <row r="103" spans="2:43" ht="12.75" hidden="1" customHeight="1">
      <c r="B103" s="18"/>
      <c r="C103" s="119"/>
      <c r="D103" s="119"/>
      <c r="E103" s="119"/>
      <c r="F103" s="120"/>
      <c r="G103" s="120"/>
      <c r="H103" s="119"/>
      <c r="I103" s="119"/>
      <c r="J103" s="119"/>
      <c r="K103" s="121"/>
      <c r="L103" s="55"/>
      <c r="M103" s="55"/>
      <c r="N103" s="17"/>
      <c r="O103" s="17"/>
      <c r="P103" s="17"/>
      <c r="Q103" s="88"/>
      <c r="R103" s="88"/>
      <c r="U103" s="17"/>
      <c r="V103" s="13">
        <v>500</v>
      </c>
      <c r="W103" s="13">
        <v>580</v>
      </c>
      <c r="X103" s="13">
        <v>4</v>
      </c>
      <c r="Y103" s="37">
        <v>999</v>
      </c>
      <c r="Z103" s="37">
        <v>999</v>
      </c>
      <c r="AA103" s="96">
        <v>5</v>
      </c>
      <c r="AB103" s="37">
        <v>999</v>
      </c>
      <c r="AC103" s="37">
        <v>999</v>
      </c>
      <c r="AD103" s="96">
        <v>6</v>
      </c>
      <c r="AE103" s="37">
        <v>2</v>
      </c>
      <c r="AF103" s="37">
        <v>4.74</v>
      </c>
      <c r="AG103" s="96">
        <v>7</v>
      </c>
      <c r="AH103" s="37">
        <v>4.75</v>
      </c>
      <c r="AI103" s="39">
        <v>8.74</v>
      </c>
      <c r="AJ103" s="96">
        <v>8</v>
      </c>
      <c r="AK103" s="39">
        <v>8.75</v>
      </c>
      <c r="AL103" s="39">
        <v>16.5</v>
      </c>
      <c r="AM103" s="96">
        <v>9</v>
      </c>
    </row>
    <row r="104" spans="2:43" ht="12.75" hidden="1" customHeight="1">
      <c r="B104" s="18"/>
      <c r="C104" s="122"/>
      <c r="D104" s="122"/>
      <c r="E104" s="69"/>
      <c r="F104" s="70"/>
      <c r="G104" s="70"/>
      <c r="H104" s="69"/>
      <c r="I104" s="69"/>
      <c r="J104" s="69"/>
      <c r="K104" s="71"/>
      <c r="L104" s="101"/>
      <c r="M104" s="55"/>
      <c r="N104" s="17"/>
      <c r="O104" s="17"/>
      <c r="P104" s="17"/>
      <c r="Q104" s="88"/>
      <c r="R104" s="88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2:43" ht="12.75" hidden="1" customHeight="1">
      <c r="B105" s="18"/>
      <c r="C105" s="119"/>
      <c r="D105" s="119"/>
      <c r="E105" s="69"/>
      <c r="F105" s="70"/>
      <c r="G105" s="70"/>
      <c r="H105" s="69"/>
      <c r="I105" s="69"/>
      <c r="J105" s="69"/>
      <c r="K105" s="71"/>
      <c r="L105" s="101"/>
      <c r="M105" s="55"/>
      <c r="N105" s="17"/>
      <c r="O105" s="17"/>
      <c r="P105" s="17"/>
      <c r="Q105" s="88"/>
      <c r="R105" s="88"/>
      <c r="U105" s="17"/>
      <c r="V105" s="154">
        <f>D7</f>
        <v>580</v>
      </c>
      <c r="W105" s="154"/>
      <c r="X105" s="123">
        <f>IF(AND(V105&gt;=V100,V105&lt;=W100),X100,IF(AND(V105&gt;=V101,V105&lt;=W101),X101,IF(AND(V105&gt;=V102,V105&lt;=W102),X102,IF(AND(V105&gt;=V103,V105&lt;=W103),X103,0))))</f>
        <v>4</v>
      </c>
      <c r="Y105" s="106">
        <f>LOOKUP(X105,X99:X103,Y99:Y103)</f>
        <v>999</v>
      </c>
      <c r="Z105" s="106">
        <f>LOOKUP(X105,X99:X103,Z99:Z103)</f>
        <v>999</v>
      </c>
      <c r="AA105" s="106">
        <f>LOOKUP(X105,X99:X103,AA99:AA103)</f>
        <v>5</v>
      </c>
      <c r="AB105" s="106">
        <f>LOOKUP(X105,X99:X103,AB99:AB103)</f>
        <v>999</v>
      </c>
      <c r="AC105" s="106">
        <f>LOOKUP(X105,X99:X103,AC99:AC103)</f>
        <v>999</v>
      </c>
      <c r="AD105" s="106">
        <f>LOOKUP(X105,X99:X103,AD99:AD103)</f>
        <v>6</v>
      </c>
      <c r="AE105" s="106">
        <f>LOOKUP(X105,X99:X103,AE99:AE103)</f>
        <v>2</v>
      </c>
      <c r="AF105" s="106">
        <f>LOOKUP(X105,X99:X103,AF99:AF103)</f>
        <v>4.74</v>
      </c>
      <c r="AG105" s="106">
        <f>LOOKUP(X105,X99:X103,AG99:AG103)</f>
        <v>7</v>
      </c>
      <c r="AH105" s="106">
        <f>LOOKUP(X105,X99:X103,AH99:AH103)</f>
        <v>4.75</v>
      </c>
      <c r="AI105" s="106">
        <f>LOOKUP(X105,X99:X103,AI99:AI103)</f>
        <v>8.74</v>
      </c>
      <c r="AJ105" s="106">
        <f>LOOKUP(X105,X99:X103,AJ99:AJ103)</f>
        <v>8</v>
      </c>
      <c r="AK105" s="106">
        <f>LOOKUP(X105,X99:X103,AK99:AK103)</f>
        <v>8.75</v>
      </c>
      <c r="AL105" s="106">
        <f>LOOKUP(X105,X99:X103,AL99:AL103)</f>
        <v>16.5</v>
      </c>
      <c r="AM105" s="106">
        <f>LOOKUP(X105,X99:X103,AM99:AM103)</f>
        <v>9</v>
      </c>
      <c r="AN105" s="155" t="s">
        <v>127</v>
      </c>
      <c r="AO105" s="155"/>
    </row>
    <row r="106" spans="2:43" ht="12.75" hidden="1" customHeight="1">
      <c r="B106" s="18"/>
      <c r="C106" s="119"/>
      <c r="D106" s="119"/>
      <c r="E106" s="69"/>
      <c r="F106" s="70"/>
      <c r="G106" s="70"/>
      <c r="H106" s="69"/>
      <c r="I106" s="69"/>
      <c r="J106" s="69"/>
      <c r="K106" s="71"/>
      <c r="L106" s="101"/>
      <c r="M106" s="55"/>
      <c r="N106" s="17"/>
      <c r="O106" s="17"/>
      <c r="P106" s="17"/>
      <c r="Q106" s="88"/>
      <c r="R106" s="88"/>
      <c r="U106" s="17"/>
      <c r="AK106" s="147">
        <f>IF(AND(D15&gt;=Y105,D15&lt;=Z105),AA105,IF(AND(D15&gt;=AB105,D15&lt;=AC105),AD105,IF(AND(D15&gt;=AE105,D15&lt;=AF105),AG105,IF(AND(D15&gt;=AH105,D15&lt;=AI105),AJ105,IF(AND(D15&gt;=AK105,D15&lt;=AL105),AM105,0)))))</f>
        <v>8</v>
      </c>
      <c r="AL106" s="147"/>
      <c r="AM106" s="147"/>
      <c r="AN106" s="156" t="s">
        <v>128</v>
      </c>
      <c r="AO106" s="156"/>
    </row>
    <row r="107" spans="2:43" ht="12.75" hidden="1" customHeight="1">
      <c r="B107" s="142" t="s">
        <v>131</v>
      </c>
      <c r="C107" s="142"/>
      <c r="D107" s="142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2:43" ht="12.75" hidden="1" customHeight="1">
      <c r="B108" s="131" t="s">
        <v>82</v>
      </c>
      <c r="C108" s="131"/>
      <c r="D108" s="27">
        <f>(D7*D11*D9)/1000000000*680+(D13/1000)</f>
        <v>4.5595199999999991</v>
      </c>
      <c r="E108" s="9"/>
      <c r="F108" s="9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2:43" ht="12.75" hidden="1" customHeight="1">
      <c r="B109" s="131" t="s">
        <v>83</v>
      </c>
      <c r="C109" s="131"/>
      <c r="D109" s="27">
        <f>(D7*D11*D9)/1000000000*760+(D13/1000)</f>
        <v>5.0606399999999994</v>
      </c>
      <c r="E109" s="9"/>
      <c r="F109" s="9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2:43" ht="12.75" hidden="1" customHeight="1">
      <c r="B110" s="131" t="s">
        <v>84</v>
      </c>
      <c r="C110" s="131"/>
      <c r="D110" s="27">
        <f>C100+(D13/1000)</f>
        <v>5.0734000000000004</v>
      </c>
      <c r="E110" s="9"/>
      <c r="F110" s="9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2:43" ht="12.75" hidden="1" customHeight="1">
      <c r="B111" s="131" t="s">
        <v>85</v>
      </c>
      <c r="C111" s="131"/>
      <c r="D111" s="27">
        <f>C101+(D13/1000)</f>
        <v>4.1904701754385965</v>
      </c>
      <c r="E111" s="9"/>
      <c r="F111" s="9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2:43" ht="12.75" hidden="1" customHeight="1"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2:34" ht="12.75" hidden="1" customHeight="1">
      <c r="B113" s="141" t="s">
        <v>132</v>
      </c>
      <c r="C113" s="141"/>
      <c r="D113" s="141"/>
      <c r="E113" s="141"/>
      <c r="F113" s="141"/>
      <c r="G113" s="142" t="s">
        <v>133</v>
      </c>
      <c r="H113" s="142"/>
      <c r="I113" s="83">
        <v>318340</v>
      </c>
      <c r="J113" s="83">
        <f>IF(AK106=5,1,0)</f>
        <v>0</v>
      </c>
      <c r="K113" s="27">
        <v>63.35</v>
      </c>
      <c r="L113" s="27">
        <f>SUM((K113*J113)-((K113*J113)/100)*L2)</f>
        <v>0</v>
      </c>
      <c r="M113" s="27">
        <f>L113*30.126</f>
        <v>0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2:34" ht="12.75" hidden="1" customHeight="1">
      <c r="B114" s="141" t="s">
        <v>134</v>
      </c>
      <c r="C114" s="141"/>
      <c r="D114" s="141"/>
      <c r="E114" s="141"/>
      <c r="F114" s="141"/>
      <c r="G114" s="142" t="s">
        <v>135</v>
      </c>
      <c r="H114" s="142"/>
      <c r="I114" s="83">
        <v>318341</v>
      </c>
      <c r="J114" s="83">
        <f>IF(AK106=6,1,0)</f>
        <v>0</v>
      </c>
      <c r="K114" s="27">
        <v>63.35</v>
      </c>
      <c r="L114" s="27">
        <f>SUM((K114*J114)-((K114*J114)/100)*L2)</f>
        <v>0</v>
      </c>
      <c r="M114" s="27">
        <f t="shared" ref="M114:M125" si="0">L114*30.126</f>
        <v>0</v>
      </c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2:34" ht="12.75" hidden="1" customHeight="1">
      <c r="B115" s="141" t="s">
        <v>136</v>
      </c>
      <c r="C115" s="141"/>
      <c r="D115" s="141"/>
      <c r="E115" s="141"/>
      <c r="F115" s="141"/>
      <c r="G115" s="142" t="s">
        <v>137</v>
      </c>
      <c r="H115" s="142"/>
      <c r="I115" s="83">
        <v>318342</v>
      </c>
      <c r="J115" s="83">
        <f>IF(AK106=7,1,0)</f>
        <v>0</v>
      </c>
      <c r="K115" s="27">
        <v>68.67</v>
      </c>
      <c r="L115" s="27">
        <f>SUM((K115*J115)-((K115*J115)/100)*L2)</f>
        <v>0</v>
      </c>
      <c r="M115" s="27">
        <f t="shared" si="0"/>
        <v>0</v>
      </c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2:34" ht="12.75" hidden="1" customHeight="1">
      <c r="B116" s="141" t="s">
        <v>138</v>
      </c>
      <c r="C116" s="141"/>
      <c r="D116" s="141"/>
      <c r="E116" s="141"/>
      <c r="F116" s="141"/>
      <c r="G116" s="142" t="s">
        <v>139</v>
      </c>
      <c r="H116" s="142"/>
      <c r="I116" s="83">
        <v>318343</v>
      </c>
      <c r="J116" s="83">
        <f>IF(AK106=8,1,0)</f>
        <v>1</v>
      </c>
      <c r="K116" s="27">
        <v>68.67</v>
      </c>
      <c r="L116" s="27">
        <f>SUM((K116*J116)-((K116*J116)/100)*L2)</f>
        <v>68.67</v>
      </c>
      <c r="M116" s="27">
        <f t="shared" si="0"/>
        <v>2068.7524200000003</v>
      </c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2:34" ht="12.75" hidden="1" customHeight="1">
      <c r="B117" s="141" t="s">
        <v>140</v>
      </c>
      <c r="C117" s="141"/>
      <c r="D117" s="141"/>
      <c r="E117" s="141"/>
      <c r="F117" s="141"/>
      <c r="G117" s="142" t="s">
        <v>141</v>
      </c>
      <c r="H117" s="142"/>
      <c r="I117" s="83">
        <v>318344</v>
      </c>
      <c r="J117" s="83">
        <f>IF(AK106=9,1,0)</f>
        <v>0</v>
      </c>
      <c r="K117" s="27">
        <v>103.58</v>
      </c>
      <c r="L117" s="27">
        <f>SUM((K117*J117)-((K117*J117)/100)*L2)</f>
        <v>0</v>
      </c>
      <c r="M117" s="27">
        <f t="shared" si="0"/>
        <v>0</v>
      </c>
    </row>
    <row r="118" spans="2:34" ht="12.75" hidden="1" customHeight="1">
      <c r="B118" s="141" t="s">
        <v>142</v>
      </c>
      <c r="C118" s="141"/>
      <c r="D118" s="141"/>
      <c r="E118" s="141"/>
      <c r="F118" s="141"/>
      <c r="G118" s="142" t="s">
        <v>143</v>
      </c>
      <c r="H118" s="142"/>
      <c r="I118" s="83">
        <v>318345</v>
      </c>
      <c r="J118" s="83">
        <f>IF(X105=1,1,0)</f>
        <v>0</v>
      </c>
      <c r="K118" s="27">
        <v>39.130000000000003</v>
      </c>
      <c r="L118" s="27">
        <f>SUM((K118*J118)-((K118*J118)/100)*L2)</f>
        <v>0</v>
      </c>
      <c r="M118" s="27">
        <f t="shared" si="0"/>
        <v>0</v>
      </c>
    </row>
    <row r="119" spans="2:34" ht="12.75" hidden="1" customHeight="1">
      <c r="B119" s="141" t="s">
        <v>144</v>
      </c>
      <c r="C119" s="141"/>
      <c r="D119" s="141"/>
      <c r="E119" s="141"/>
      <c r="F119" s="141"/>
      <c r="G119" s="142" t="s">
        <v>145</v>
      </c>
      <c r="H119" s="142"/>
      <c r="I119" s="83">
        <v>318346</v>
      </c>
      <c r="J119" s="83">
        <f>IF(X105=2,1,0)</f>
        <v>0</v>
      </c>
      <c r="K119" s="27">
        <v>42.85</v>
      </c>
      <c r="L119" s="27">
        <f>SUM((K119*J119)-((K119*J119)/100)*L2)</f>
        <v>0</v>
      </c>
      <c r="M119" s="27">
        <f t="shared" si="0"/>
        <v>0</v>
      </c>
    </row>
    <row r="120" spans="2:34" ht="12.75" hidden="1" customHeight="1">
      <c r="B120" s="141" t="s">
        <v>146</v>
      </c>
      <c r="C120" s="141"/>
      <c r="D120" s="141"/>
      <c r="E120" s="141"/>
      <c r="F120" s="141"/>
      <c r="G120" s="142" t="s">
        <v>147</v>
      </c>
      <c r="H120" s="142"/>
      <c r="I120" s="83">
        <v>318347</v>
      </c>
      <c r="J120" s="83">
        <f>IF(X105=3,1,0)</f>
        <v>0</v>
      </c>
      <c r="K120" s="27">
        <v>44.43</v>
      </c>
      <c r="L120" s="27">
        <f>SUM((K120*J120)-((K120*J120)/100)*L2)</f>
        <v>0</v>
      </c>
      <c r="M120" s="27">
        <f t="shared" si="0"/>
        <v>0</v>
      </c>
      <c r="AH120" s="49"/>
    </row>
    <row r="121" spans="2:34" ht="12.75" hidden="1" customHeight="1">
      <c r="B121" s="141" t="s">
        <v>148</v>
      </c>
      <c r="C121" s="141"/>
      <c r="D121" s="141"/>
      <c r="E121" s="141"/>
      <c r="F121" s="141"/>
      <c r="G121" s="142" t="s">
        <v>149</v>
      </c>
      <c r="H121" s="142"/>
      <c r="I121" s="83">
        <v>318348</v>
      </c>
      <c r="J121" s="83">
        <f>IF(X105=4,1,0)</f>
        <v>1</v>
      </c>
      <c r="K121" s="27">
        <v>48.69</v>
      </c>
      <c r="L121" s="27">
        <f>SUM((K121*J121)-((K121*J121)/100)*L2)</f>
        <v>48.69</v>
      </c>
      <c r="M121" s="27">
        <f t="shared" si="0"/>
        <v>1466.83494</v>
      </c>
    </row>
    <row r="122" spans="2:34" ht="12.75" hidden="1" customHeight="1">
      <c r="B122" s="141" t="s">
        <v>150</v>
      </c>
      <c r="C122" s="141"/>
      <c r="D122" s="141"/>
      <c r="E122" s="141"/>
      <c r="F122" s="141"/>
      <c r="G122" s="142" t="s">
        <v>95</v>
      </c>
      <c r="H122" s="142"/>
      <c r="I122" s="83">
        <v>318310</v>
      </c>
      <c r="J122" s="83">
        <f>IF(B4&lt;5,1,0)</f>
        <v>1</v>
      </c>
      <c r="K122" s="27">
        <v>3.15</v>
      </c>
      <c r="L122" s="27">
        <f>SUM((K122*J122)-((K122*J122)/100)*L2)</f>
        <v>3.15</v>
      </c>
      <c r="M122" s="27">
        <f t="shared" si="0"/>
        <v>94.896900000000002</v>
      </c>
    </row>
    <row r="123" spans="2:34" ht="12.75" hidden="1" customHeight="1">
      <c r="B123" s="141" t="s">
        <v>121</v>
      </c>
      <c r="C123" s="141"/>
      <c r="D123" s="141"/>
      <c r="E123" s="141"/>
      <c r="F123" s="141"/>
      <c r="G123" s="142" t="s">
        <v>97</v>
      </c>
      <c r="H123" s="142"/>
      <c r="I123" s="83">
        <v>318311</v>
      </c>
      <c r="J123" s="83">
        <f>IF(B4&gt;4,1,0)</f>
        <v>0</v>
      </c>
      <c r="K123" s="27">
        <v>12.83</v>
      </c>
      <c r="L123" s="27">
        <f>SUM((K123*J123)-((K123*J123)/100)*L2)</f>
        <v>0</v>
      </c>
      <c r="M123" s="27">
        <f t="shared" si="0"/>
        <v>0</v>
      </c>
    </row>
    <row r="124" spans="2:34" ht="12.75" hidden="1" customHeight="1">
      <c r="B124" s="141" t="s">
        <v>123</v>
      </c>
      <c r="C124" s="141"/>
      <c r="D124" s="141"/>
      <c r="E124" s="141"/>
      <c r="F124" s="141"/>
      <c r="G124" s="142" t="s">
        <v>151</v>
      </c>
      <c r="H124" s="142"/>
      <c r="I124" s="83">
        <v>318350</v>
      </c>
      <c r="J124" s="83">
        <f>IF((D9-D11-120)&lt;=1060,1,2)</f>
        <v>1</v>
      </c>
      <c r="K124" s="27">
        <v>12.44</v>
      </c>
      <c r="L124" s="27">
        <f>SUM((K124*J124)-((K124*J124)/100)*L2)</f>
        <v>12.44</v>
      </c>
      <c r="M124" s="27">
        <f t="shared" si="0"/>
        <v>374.76744000000002</v>
      </c>
    </row>
    <row r="125" spans="2:34" ht="12.75" hidden="1" customHeight="1">
      <c r="B125" s="141" t="s">
        <v>125</v>
      </c>
      <c r="C125" s="141"/>
      <c r="D125" s="141"/>
      <c r="E125" s="141"/>
      <c r="F125" s="141"/>
      <c r="G125" s="142" t="s">
        <v>126</v>
      </c>
      <c r="H125" s="142"/>
      <c r="I125" s="83">
        <v>318351</v>
      </c>
      <c r="J125" s="83">
        <f>IF(J124=2,1,0)</f>
        <v>0</v>
      </c>
      <c r="K125" s="27">
        <v>13.36</v>
      </c>
      <c r="L125" s="27">
        <f>SUM((K125*J125)-((K125*J125)/100)*L2)</f>
        <v>0</v>
      </c>
      <c r="M125" s="27">
        <f t="shared" si="0"/>
        <v>0</v>
      </c>
    </row>
    <row r="126" spans="2:34" ht="12.75" hidden="1" customHeight="1"/>
    <row r="127" spans="2:34" ht="12.75" hidden="1" customHeight="1"/>
    <row r="128" spans="2:34" ht="12.75" hidden="1" customHeight="1"/>
  </sheetData>
  <sheetProtection selectLockedCells="1" selectUnlockedCells="1"/>
  <mergeCells count="69">
    <mergeCell ref="B123:F123"/>
    <mergeCell ref="G123:H123"/>
    <mergeCell ref="B124:F124"/>
    <mergeCell ref="G124:H124"/>
    <mergeCell ref="B125:F125"/>
    <mergeCell ref="G125:H125"/>
    <mergeCell ref="B120:F120"/>
    <mergeCell ref="G120:H120"/>
    <mergeCell ref="B121:F121"/>
    <mergeCell ref="G121:H121"/>
    <mergeCell ref="B122:F122"/>
    <mergeCell ref="G122:H122"/>
    <mergeCell ref="B117:F117"/>
    <mergeCell ref="G117:H117"/>
    <mergeCell ref="B118:F118"/>
    <mergeCell ref="G118:H118"/>
    <mergeCell ref="B119:F119"/>
    <mergeCell ref="G119:H119"/>
    <mergeCell ref="G113:H113"/>
    <mergeCell ref="B114:F114"/>
    <mergeCell ref="G114:H114"/>
    <mergeCell ref="B115:F115"/>
    <mergeCell ref="G115:H115"/>
    <mergeCell ref="B116:F116"/>
    <mergeCell ref="G116:H116"/>
    <mergeCell ref="B107:D107"/>
    <mergeCell ref="B108:C108"/>
    <mergeCell ref="B109:C109"/>
    <mergeCell ref="B110:C110"/>
    <mergeCell ref="B111:C111"/>
    <mergeCell ref="B113:F113"/>
    <mergeCell ref="B97:B98"/>
    <mergeCell ref="B100:B101"/>
    <mergeCell ref="J102:K102"/>
    <mergeCell ref="V105:W105"/>
    <mergeCell ref="AN105:AO105"/>
    <mergeCell ref="AK106:AM106"/>
    <mergeCell ref="AN106:AO106"/>
    <mergeCell ref="H95:I95"/>
    <mergeCell ref="AA96:AA98"/>
    <mergeCell ref="AD96:AD98"/>
    <mergeCell ref="AG96:AG98"/>
    <mergeCell ref="AJ96:AJ98"/>
    <mergeCell ref="AM96:AM98"/>
    <mergeCell ref="B37:E37"/>
    <mergeCell ref="G37:I37"/>
    <mergeCell ref="J37:K37"/>
    <mergeCell ref="B38:E38"/>
    <mergeCell ref="B39:E39"/>
    <mergeCell ref="B40:E40"/>
    <mergeCell ref="B26:E26"/>
    <mergeCell ref="F26:G26"/>
    <mergeCell ref="G28:H28"/>
    <mergeCell ref="G29:H29"/>
    <mergeCell ref="B35:E35"/>
    <mergeCell ref="B36:E36"/>
    <mergeCell ref="B23:E23"/>
    <mergeCell ref="F23:G23"/>
    <mergeCell ref="B24:E24"/>
    <mergeCell ref="F24:G24"/>
    <mergeCell ref="B25:E25"/>
    <mergeCell ref="F25:G25"/>
    <mergeCell ref="L2:L3"/>
    <mergeCell ref="B13:C13"/>
    <mergeCell ref="B15:C15"/>
    <mergeCell ref="B21:E21"/>
    <mergeCell ref="F21:G21"/>
    <mergeCell ref="B22:E22"/>
    <mergeCell ref="F22:G22"/>
  </mergeCells>
  <pageMargins left="0.19652777777777777" right="0.19652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aventos HF</vt:lpstr>
      <vt:lpstr>aventos HK</vt:lpstr>
      <vt:lpstr>aventos HS</vt:lpstr>
      <vt:lpstr>aventos HL</vt:lpstr>
      <vt:lpstr>Excel_BuiltIn__FilterDatabase_1</vt:lpstr>
      <vt:lpstr>Excel_BuiltIn__FilterDatabase_2</vt:lpstr>
      <vt:lpstr>Excel_BuiltIn__FilterDatabase_3</vt:lpstr>
      <vt:lpstr>Excel_BuiltIn__FilterDatabase_4</vt:lpstr>
      <vt:lpstr>'aventos HF'!Oblasť_tlače</vt:lpstr>
      <vt:lpstr>'aventos HK'!Oblasť_tlače</vt:lpstr>
      <vt:lpstr>'aventos HL'!Oblasť_tlače</vt:lpstr>
      <vt:lpstr>'aventos HS'!Oblasť_tlače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Bezanex sro</dc:creator>
  <cp:lastModifiedBy>Bezanex sro</cp:lastModifiedBy>
  <dcterms:created xsi:type="dcterms:W3CDTF">2019-05-28T07:44:32Z</dcterms:created>
  <dcterms:modified xsi:type="dcterms:W3CDTF">2019-05-28T07:44:33Z</dcterms:modified>
</cp:coreProperties>
</file>